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6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'300'!$D$13:$D$74</definedName>
    <definedName name="OSRRefD13x_0" localSheetId="49">'300 &amp; 317'!$D$13:$D$88</definedName>
    <definedName name="OSRRefD13x_0" localSheetId="52">'307'!$D$13:$D$23</definedName>
    <definedName name="OSRRefD13x_0" localSheetId="53">'308'!$D$13:$D$33</definedName>
    <definedName name="OSRRefD13x_0" localSheetId="64">'309'!$D$13</definedName>
    <definedName name="OSRRefD13x_0" localSheetId="63">'310'!$D$13:$D$17</definedName>
    <definedName name="OSRRefD13x_0" localSheetId="71">'310 &amp; 491'!$D$13:$D$21</definedName>
    <definedName name="OSRRefD13x_0" localSheetId="54">'311'!$D$13:$D$32</definedName>
    <definedName name="OSRRefD13x_0" localSheetId="65">'313'!$D$13</definedName>
    <definedName name="OSRRefD13x_0" localSheetId="57">'315'!$D$13:$D$50</definedName>
    <definedName name="OSRRefD13x_0" localSheetId="60">'316'!$D$13:$D$22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'326'!$D$13:$D$31</definedName>
    <definedName name="OSRRefD13x_0" localSheetId="69">'327'!$D$13:$D$14</definedName>
    <definedName name="OSRRefD13x_0" localSheetId="51">'330'!$D$13:$D$23</definedName>
    <definedName name="OSRRefD13x_0" localSheetId="56">'331'!$D$13:$D$50</definedName>
    <definedName name="OSRRefD13x_0" localSheetId="59">'332'!$D$13:$D$22</definedName>
    <definedName name="OSRRefD13x_0" localSheetId="73">'405'!$D$13:$D$14</definedName>
    <definedName name="OSRRefD13x_0" localSheetId="76">'412'!$D$13</definedName>
    <definedName name="OSRRefD13x_0" localSheetId="77">'413'!$D$13:$D$14</definedName>
    <definedName name="OSRRefD13x_0" localSheetId="78">'414'!$D$13:$D$15</definedName>
    <definedName name="OSRRefD13x_0" localSheetId="79">'415'!$D$13:$D$16</definedName>
    <definedName name="OSRRefD13x_0" localSheetId="80">'418'!$D$13:$D$14</definedName>
    <definedName name="OSRRefD13x_0" localSheetId="81">'420'!$D$13</definedName>
    <definedName name="OSRRefD13x_0" localSheetId="88">'433'!$D$13:$D$16</definedName>
    <definedName name="OSRRefD13x_0" localSheetId="90">'444'!$D$13:$D$16</definedName>
    <definedName name="OSRRefD13x_0" localSheetId="91">'450'!$D$13:$D$14</definedName>
    <definedName name="OSRRefD13x_0" localSheetId="72">'491'!$D$13:$D$18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3'!$D$13:$D$76</definedName>
    <definedName name="OSRRefD13x_0" localSheetId="70">'Div 4'!$D$13:$D$20</definedName>
    <definedName name="OSRRefD13x_0" localSheetId="92">'Div 5'!$D$13</definedName>
    <definedName name="OSRRefD13x_0" localSheetId="61">'Div 6'!$D$13:$D$30</definedName>
    <definedName name="OSRRefD13x_0" localSheetId="2">Summary!$D$13:$D$95</definedName>
    <definedName name="OSRRefD16x_0" localSheetId="48">'300'!$D$77:$D$110</definedName>
    <definedName name="OSRRefD16x_0" localSheetId="49">'300 &amp; 317'!$D$91:$D$132</definedName>
    <definedName name="OSRRefD16x_0" localSheetId="52">'307'!$D$26:$D$33</definedName>
    <definedName name="OSRRefD16x_0" localSheetId="53">'308'!$D$36:$D$50</definedName>
    <definedName name="OSRRefD16x_0" localSheetId="64">'309'!$D$16</definedName>
    <definedName name="OSRRefD16x_0" localSheetId="63">'310'!$D$20:$D$22</definedName>
    <definedName name="OSRRefD16x_0" localSheetId="71">'310 &amp; 491'!$D$24:$D$26</definedName>
    <definedName name="OSRRefD16x_0" localSheetId="54">'311'!$D$35:$D$49</definedName>
    <definedName name="OSRRefD16x_0" localSheetId="65">'313'!$D$16:$D$17</definedName>
    <definedName name="OSRRefD16x_0" localSheetId="57">'315'!$D$53:$D$74</definedName>
    <definedName name="OSRRefD16x_0" localSheetId="62">'317'!$D$33:$D$43</definedName>
    <definedName name="OSRRefD16x_0" localSheetId="66">'321'!$D$18:$D$19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'326'!$D$34:$D$38</definedName>
    <definedName name="OSRRefD16x_0" localSheetId="69">'327'!$D$17:$D$18</definedName>
    <definedName name="OSRRefD16x_0" localSheetId="51">'330'!$D$26:$D$33</definedName>
    <definedName name="OSRRefD16x_0" localSheetId="56">'331'!$D$53:$D$74</definedName>
    <definedName name="OSRRefD16x_0" localSheetId="73">'405'!$D$17</definedName>
    <definedName name="OSRRefD16x_0" localSheetId="76">'412'!$D$16</definedName>
    <definedName name="OSRRefD16x_0" localSheetId="77">'413'!$D$17</definedName>
    <definedName name="OSRRefD16x_0" localSheetId="78">'414'!$D$18</definedName>
    <definedName name="OSRRefD16x_0" localSheetId="79">'415'!$D$19:$D$21</definedName>
    <definedName name="OSRRefD16x_0" localSheetId="80">'418'!$D$17</definedName>
    <definedName name="OSRRefD16x_0" localSheetId="88">'433'!$D$19:$D$21</definedName>
    <definedName name="OSRRefD16x_0" localSheetId="90">'444'!$D$19:$D$21</definedName>
    <definedName name="OSRRefD16x_0" localSheetId="91">'450'!$D$17</definedName>
    <definedName name="OSRRefD16x_0" localSheetId="72">'491'!$D$21:$D$23</definedName>
    <definedName name="OSRRefD16x_0" localSheetId="86">'492'!$D$19:$D$21</definedName>
    <definedName name="OSRRefD16x_0" localSheetId="47">'Div 3'!$D$79:$D$114</definedName>
    <definedName name="OSRRefD16x_0" localSheetId="70">'Div 4'!$D$23:$D$25</definedName>
    <definedName name="OSRRefD16x_0" localSheetId="61">'Div 6'!$D$33:$D$43</definedName>
    <definedName name="OSRRefD16x_0" localSheetId="2">Summary!$D$98:$D$141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'300'!$D$116:$D$125</definedName>
    <definedName name="OSRRefD22_0x_0" localSheetId="49">'300 &amp; 317'!$D$138:$D$147</definedName>
    <definedName name="OSRRefD22_0x_0" localSheetId="50">'301'!$D$20:$D$28</definedName>
    <definedName name="OSRRefD22_0x_0" localSheetId="52">'307'!$D$39:$D$46</definedName>
    <definedName name="OSRRefD22_0x_0" localSheetId="53">'308'!$D$56:$D$65</definedName>
    <definedName name="OSRRefD22_0x_0" localSheetId="64">'309'!$D$22:$D$29</definedName>
    <definedName name="OSRRefD22_0x_0" localSheetId="63">'310'!$D$28:$D$36</definedName>
    <definedName name="OSRRefD22_0x_0" localSheetId="71">'310 &amp; 491'!$D$32:$D$40</definedName>
    <definedName name="OSRRefD22_0x_0" localSheetId="54">'311'!$D$55:$D$64</definedName>
    <definedName name="OSRRefD22_0x_0" localSheetId="65">'313'!$D$23:$D$31</definedName>
    <definedName name="OSRRefD22_0x_0" localSheetId="57">'315'!$D$80:$D$88</definedName>
    <definedName name="OSRRefD22_0x_0" localSheetId="60">'316'!$D$30:$D$38</definedName>
    <definedName name="OSRRefD22_0x_0" localSheetId="62">'317'!$D$49:$D$58</definedName>
    <definedName name="OSRRefD22_0x_0" localSheetId="66">'321'!$D$25:$D$33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'326'!$D$44:$D$52</definedName>
    <definedName name="OSRRefD22_0x_0" localSheetId="69">'327'!$D$24</definedName>
    <definedName name="OSRRefD22_0x_0" localSheetId="51">'330'!$D$39:$D$46</definedName>
    <definedName name="OSRRefD22_0x_0" localSheetId="56">'331'!$D$80:$D$88</definedName>
    <definedName name="OSRRefD22_0x_0" localSheetId="59">'332'!$D$30:$D$38</definedName>
    <definedName name="OSRRefD22_0x_0" localSheetId="73">'405'!$D$23:$D$30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7">'413'!$D$23:$D$31</definedName>
    <definedName name="OSRRefD22_0x_0" localSheetId="78">'414'!$D$24:$D$32</definedName>
    <definedName name="OSRRefD22_0x_0" localSheetId="79">'415'!$D$27:$D$35</definedName>
    <definedName name="OSRRefD22_0x_0" localSheetId="80">'418'!$D$23:$D$30</definedName>
    <definedName name="OSRRefD22_0x_0" localSheetId="81">'420'!$D$21</definedName>
    <definedName name="OSRRefD22_0x_0" localSheetId="82">'423'!$D$20:$D$27</definedName>
    <definedName name="OSRRefD22_0x_0" localSheetId="83">'424'!$D$20</definedName>
    <definedName name="OSRRefD22_0x_0" localSheetId="84">'425'!$D$20:$D$24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'450'!$D$23:$D$32</definedName>
    <definedName name="OSRRefD22_0x_0" localSheetId="72">'491'!$D$29:$D$37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3'!$D$120:$D$129</definedName>
    <definedName name="OSRRefD22_0x_0" localSheetId="70">'Div 4'!$D$31:$D$40</definedName>
    <definedName name="OSRRefD22_0x_0" localSheetId="92">'Div 5'!$D$21:$D$30</definedName>
    <definedName name="OSRRefD22_0x_0" localSheetId="61">'Div 6'!$D$49:$D$58</definedName>
    <definedName name="OSRRefD22_0x_0" localSheetId="2">Summary!$D$147:$D$156</definedName>
    <definedName name="OSRRefD22_10x_0" localSheetId="41">'201'!$D$58:$D$60</definedName>
    <definedName name="OSRRefD22_10x_0" localSheetId="42">'202'!$D$62</definedName>
    <definedName name="OSRRefD22_10x_0" localSheetId="43">'203'!$D$62</definedName>
    <definedName name="OSRRefD22_10x_0" localSheetId="44">'204'!$D$62:$D$63</definedName>
    <definedName name="OSRRefD22_10x_0" localSheetId="48">'300'!$D$158:$D$159</definedName>
    <definedName name="OSRRefD22_10x_0" localSheetId="49">'300 &amp; 317'!$D$180:$D$181</definedName>
    <definedName name="OSRRefD22_10x_0" localSheetId="50">'301'!$D$59</definedName>
    <definedName name="OSRRefD22_10x_0" localSheetId="52">'307'!$D$77:$D$78</definedName>
    <definedName name="OSRRefD22_10x_0" localSheetId="53">'308'!$D$96</definedName>
    <definedName name="OSRRefD22_10x_0" localSheetId="63">'310'!$D$66</definedName>
    <definedName name="OSRRefD22_10x_0" localSheetId="71">'310 &amp; 491'!$D$72</definedName>
    <definedName name="OSRRefD22_10x_0" localSheetId="54">'311'!$D$95</definedName>
    <definedName name="OSRRefD22_10x_0" localSheetId="65">'313'!$D$64</definedName>
    <definedName name="OSRRefD22_10x_0" localSheetId="57">'315'!$D$118</definedName>
    <definedName name="OSRRefD22_10x_0" localSheetId="60">'316'!$D$73</definedName>
    <definedName name="OSRRefD22_10x_0" localSheetId="62">'317'!$D$88:$D$90</definedName>
    <definedName name="OSRRefD22_10x_0" localSheetId="66">'321'!$D$65:$D$67</definedName>
    <definedName name="OSRRefD22_10x_0" localSheetId="67">'322'!$D$64</definedName>
    <definedName name="OSRRefD22_10x_0" localSheetId="68">'325'!$D$62:$D$65</definedName>
    <definedName name="OSRRefD22_10x_0" localSheetId="58">'326'!$D$82</definedName>
    <definedName name="OSRRefD22_10x_0" localSheetId="51">'330'!$D$77:$D$78</definedName>
    <definedName name="OSRRefD22_10x_0" localSheetId="56">'331'!$D$119</definedName>
    <definedName name="OSRRefD22_10x_0" localSheetId="59">'332'!$D$73</definedName>
    <definedName name="OSRRefD22_10x_0" localSheetId="73">'405'!$D$61:$D$64</definedName>
    <definedName name="OSRRefD22_10x_0" localSheetId="75">'411'!$D$59:$D$62</definedName>
    <definedName name="OSRRefD22_10x_0" localSheetId="76">'412'!$D$60:$D$63</definedName>
    <definedName name="OSRRefD22_10x_0" localSheetId="77">'413'!$D$63:$D$70</definedName>
    <definedName name="OSRRefD22_10x_0" localSheetId="78">'414'!$D$62</definedName>
    <definedName name="OSRRefD22_10x_0" localSheetId="79">'415'!$D$65:$D$66</definedName>
    <definedName name="OSRRefD22_10x_0" localSheetId="80">'418'!$D$63</definedName>
    <definedName name="OSRRefD22_10x_0" localSheetId="88">'433'!$D$65</definedName>
    <definedName name="OSRRefD22_10x_0" localSheetId="90">'444'!$D$65</definedName>
    <definedName name="OSRRefD22_10x_0" localSheetId="91">'450'!$D$61</definedName>
    <definedName name="OSRRefD22_10x_0" localSheetId="72">'491'!$D$68</definedName>
    <definedName name="OSRRefD22_10x_0" localSheetId="86">'492'!$D$65</definedName>
    <definedName name="OSRRefD22_10x_0" localSheetId="93">'501'!$D$63:$D$64</definedName>
    <definedName name="OSRRefD22_10x_0" localSheetId="39">'Div 2'!$D$62</definedName>
    <definedName name="OSRRefD22_10x_0" localSheetId="47">'Div 3'!$D$162:$D$163</definedName>
    <definedName name="OSRRefD22_10x_0" localSheetId="70">'Div 4'!$D$71</definedName>
    <definedName name="OSRRefD22_10x_0" localSheetId="92">'Div 5'!$D$63:$D$64</definedName>
    <definedName name="OSRRefD22_10x_0" localSheetId="61">'Div 6'!$D$88:$D$90</definedName>
    <definedName name="OSRRefD22_10x_0" localSheetId="2">Summary!$D$190:$D$191</definedName>
    <definedName name="OSRRefD22_11x_0" localSheetId="41">'201'!$D$62</definedName>
    <definedName name="OSRRefD22_11x_0" localSheetId="42">'202'!$D$64</definedName>
    <definedName name="OSRRefD22_11x_0" localSheetId="43">'203'!$D$64:$D$66</definedName>
    <definedName name="OSRRefD22_11x_0" localSheetId="44">'204'!$D$65</definedName>
    <definedName name="OSRRefD22_11x_0" localSheetId="48">'300'!$D$161:$D$163</definedName>
    <definedName name="OSRRefD22_11x_0" localSheetId="49">'300 &amp; 317'!$D$183:$D$185</definedName>
    <definedName name="OSRRefD22_11x_0" localSheetId="50">'301'!$D$61</definedName>
    <definedName name="OSRRefD22_11x_0" localSheetId="52">'307'!$D$80:$D$83</definedName>
    <definedName name="OSRRefD22_11x_0" localSheetId="53">'308'!$D$98:$D$100</definedName>
    <definedName name="OSRRefD22_11x_0" localSheetId="63">'310'!$D$68</definedName>
    <definedName name="OSRRefD22_11x_0" localSheetId="71">'310 &amp; 491'!$D$74</definedName>
    <definedName name="OSRRefD22_11x_0" localSheetId="54">'311'!$D$97:$D$99</definedName>
    <definedName name="OSRRefD22_11x_0" localSheetId="65">'313'!$D$66</definedName>
    <definedName name="OSRRefD22_11x_0" localSheetId="57">'315'!$D$120</definedName>
    <definedName name="OSRRefD22_11x_0" localSheetId="60">'316'!$D$75</definedName>
    <definedName name="OSRRefD22_11x_0" localSheetId="62">'317'!$D$92</definedName>
    <definedName name="OSRRefD22_11x_0" localSheetId="66">'321'!$D$69:$D$70</definedName>
    <definedName name="OSRRefD22_11x_0" localSheetId="67">'322'!$D$66</definedName>
    <definedName name="OSRRefD22_11x_0" localSheetId="68">'325'!$D$67:$D$69</definedName>
    <definedName name="OSRRefD22_11x_0" localSheetId="58">'326'!$D$84</definedName>
    <definedName name="OSRRefD22_11x_0" localSheetId="51">'330'!$D$80:$D$83</definedName>
    <definedName name="OSRRefD22_11x_0" localSheetId="56">'331'!$D$121</definedName>
    <definedName name="OSRRefD22_11x_0" localSheetId="59">'332'!$D$75</definedName>
    <definedName name="OSRRefD22_11x_0" localSheetId="73">'405'!$D$66</definedName>
    <definedName name="OSRRefD22_11x_0" localSheetId="75">'411'!$D$64:$D$70</definedName>
    <definedName name="OSRRefD22_11x_0" localSheetId="76">'412'!$D$65:$D$69</definedName>
    <definedName name="OSRRefD22_11x_0" localSheetId="77">'413'!$D$72:$D$73</definedName>
    <definedName name="OSRRefD22_11x_0" localSheetId="78">'414'!$D$64</definedName>
    <definedName name="OSRRefD22_11x_0" localSheetId="79">'415'!$D$68:$D$72</definedName>
    <definedName name="OSRRefD22_11x_0" localSheetId="80">'418'!$D$65:$D$74</definedName>
    <definedName name="OSRRefD22_11x_0" localSheetId="88">'433'!$D$67:$D$68</definedName>
    <definedName name="OSRRefD22_11x_0" localSheetId="90">'444'!$D$67:$D$70</definedName>
    <definedName name="OSRRefD22_11x_0" localSheetId="91">'450'!$D$63</definedName>
    <definedName name="OSRRefD22_11x_0" localSheetId="72">'491'!$D$70</definedName>
    <definedName name="OSRRefD22_11x_0" localSheetId="86">'492'!$D$67</definedName>
    <definedName name="OSRRefD22_11x_0" localSheetId="93">'501'!$D$66</definedName>
    <definedName name="OSRRefD22_11x_0" localSheetId="39">'Div 2'!$D$64:$D$65</definedName>
    <definedName name="OSRRefD22_11x_0" localSheetId="47">'Div 3'!$D$165:$D$167</definedName>
    <definedName name="OSRRefD22_11x_0" localSheetId="70">'Div 4'!$D$73</definedName>
    <definedName name="OSRRefD22_11x_0" localSheetId="92">'Div 5'!$D$66</definedName>
    <definedName name="OSRRefD22_11x_0" localSheetId="61">'Div 6'!$D$92</definedName>
    <definedName name="OSRRefD22_11x_0" localSheetId="2">Summary!$D$193:$D$195</definedName>
    <definedName name="OSRRefD22_12x_0" localSheetId="41">'201'!$D$64</definedName>
    <definedName name="OSRRefD22_12x_0" localSheetId="42">'202'!$D$66</definedName>
    <definedName name="OSRRefD22_12x_0" localSheetId="43">'203'!$D$68</definedName>
    <definedName name="OSRRefD22_12x_0" localSheetId="48">'300'!$D$165</definedName>
    <definedName name="OSRRefD22_12x_0" localSheetId="49">'300 &amp; 317'!$D$187</definedName>
    <definedName name="OSRRefD22_12x_0" localSheetId="50">'301'!$D$63</definedName>
    <definedName name="OSRRefD22_12x_0" localSheetId="52">'307'!$D$85:$D$86</definedName>
    <definedName name="OSRRefD22_12x_0" localSheetId="53">'308'!$D$102:$D$103</definedName>
    <definedName name="OSRRefD22_12x_0" localSheetId="63">'310'!$D$70:$D$73</definedName>
    <definedName name="OSRRefD22_12x_0" localSheetId="71">'310 &amp; 491'!$D$76</definedName>
    <definedName name="OSRRefD22_12x_0" localSheetId="54">'311'!$D$101:$D$102</definedName>
    <definedName name="OSRRefD22_12x_0" localSheetId="57">'315'!$D$122:$D$124</definedName>
    <definedName name="OSRRefD22_12x_0" localSheetId="62">'317'!$D$94</definedName>
    <definedName name="OSRRefD22_12x_0" localSheetId="66">'321'!$D$72</definedName>
    <definedName name="OSRRefD22_12x_0" localSheetId="68">'325'!$D$71</definedName>
    <definedName name="OSRRefD22_12x_0" localSheetId="58">'326'!$D$86</definedName>
    <definedName name="OSRRefD22_12x_0" localSheetId="51">'330'!$D$85:$D$86</definedName>
    <definedName name="OSRRefD22_12x_0" localSheetId="56">'331'!$D$123</definedName>
    <definedName name="OSRRefD22_12x_0" localSheetId="73">'405'!$D$68:$D$76</definedName>
    <definedName name="OSRRefD22_12x_0" localSheetId="75">'411'!$D$72</definedName>
    <definedName name="OSRRefD22_12x_0" localSheetId="76">'412'!$D$71:$D$72</definedName>
    <definedName name="OSRRefD22_12x_0" localSheetId="77">'413'!$D$75</definedName>
    <definedName name="OSRRefD22_12x_0" localSheetId="78">'414'!$D$66:$D$68</definedName>
    <definedName name="OSRRefD22_12x_0" localSheetId="79">'415'!$D$74</definedName>
    <definedName name="OSRRefD22_12x_0" localSheetId="80">'418'!$D$76:$D$77</definedName>
    <definedName name="OSRRefD22_12x_0" localSheetId="88">'433'!$D$70:$D$73</definedName>
    <definedName name="OSRRefD22_12x_0" localSheetId="90">'444'!$D$72:$D$74</definedName>
    <definedName name="OSRRefD22_12x_0" localSheetId="91">'450'!$D$65</definedName>
    <definedName name="OSRRefD22_12x_0" localSheetId="72">'491'!$D$72</definedName>
    <definedName name="OSRRefD22_12x_0" localSheetId="86">'492'!$D$69:$D$72</definedName>
    <definedName name="OSRRefD22_12x_0" localSheetId="39">'Div 2'!$D$67:$D$70</definedName>
    <definedName name="OSRRefD22_12x_0" localSheetId="47">'Div 3'!$D$169</definedName>
    <definedName name="OSRRefD22_12x_0" localSheetId="70">'Div 4'!$D$75</definedName>
    <definedName name="OSRRefD22_12x_0" localSheetId="61">'Div 6'!$D$94</definedName>
    <definedName name="OSRRefD22_12x_0" localSheetId="2">Summary!$D$197</definedName>
    <definedName name="OSRRefD22_13x_0" localSheetId="41">'201'!$D$66:$D$68</definedName>
    <definedName name="OSRRefD22_13x_0" localSheetId="43">'203'!$D$70</definedName>
    <definedName name="OSRRefD22_13x_0" localSheetId="48">'300'!$D$167</definedName>
    <definedName name="OSRRefD22_13x_0" localSheetId="49">'300 &amp; 317'!$D$189</definedName>
    <definedName name="OSRRefD22_13x_0" localSheetId="50">'301'!$D$65</definedName>
    <definedName name="OSRRefD22_13x_0" localSheetId="52">'307'!$D$88</definedName>
    <definedName name="OSRRefD22_13x_0" localSheetId="53">'308'!$D$105</definedName>
    <definedName name="OSRRefD22_13x_0" localSheetId="63">'310'!$D$75:$D$76</definedName>
    <definedName name="OSRRefD22_13x_0" localSheetId="71">'310 &amp; 491'!$D$78:$D$81</definedName>
    <definedName name="OSRRefD22_13x_0" localSheetId="54">'311'!$D$104</definedName>
    <definedName name="OSRRefD22_13x_0" localSheetId="57">'315'!$D$126:$D$127</definedName>
    <definedName name="OSRRefD22_13x_0" localSheetId="66">'321'!$D$74</definedName>
    <definedName name="OSRRefD22_13x_0" localSheetId="68">'325'!$D$73:$D$77</definedName>
    <definedName name="OSRRefD22_13x_0" localSheetId="58">'326'!$D$88:$D$89</definedName>
    <definedName name="OSRRefD22_13x_0" localSheetId="51">'330'!$D$88</definedName>
    <definedName name="OSRRefD22_13x_0" localSheetId="56">'331'!$D$125</definedName>
    <definedName name="OSRRefD22_13x_0" localSheetId="73">'405'!$D$78</definedName>
    <definedName name="OSRRefD22_13x_0" localSheetId="75">'411'!$D$74</definedName>
    <definedName name="OSRRefD22_13x_0" localSheetId="76">'412'!$D$74</definedName>
    <definedName name="OSRRefD22_13x_0" localSheetId="78">'414'!$D$70</definedName>
    <definedName name="OSRRefD22_13x_0" localSheetId="79">'415'!$D$76:$D$82</definedName>
    <definedName name="OSRRefD22_13x_0" localSheetId="80">'418'!$D$79</definedName>
    <definedName name="OSRRefD22_13x_0" localSheetId="88">'433'!$D$75:$D$82</definedName>
    <definedName name="OSRRefD22_13x_0" localSheetId="90">'444'!$D$76</definedName>
    <definedName name="OSRRefD22_13x_0" localSheetId="91">'450'!$D$67:$D$69</definedName>
    <definedName name="OSRRefD22_13x_0" localSheetId="72">'491'!$D$74:$D$77</definedName>
    <definedName name="OSRRefD22_13x_0" localSheetId="86">'492'!$D$74:$D$77</definedName>
    <definedName name="OSRRefD22_13x_0" localSheetId="39">'Div 2'!$D$72:$D$75</definedName>
    <definedName name="OSRRefD22_13x_0" localSheetId="47">'Div 3'!$D$171</definedName>
    <definedName name="OSRRefD22_13x_0" localSheetId="70">'Div 4'!$D$77</definedName>
    <definedName name="OSRRefD22_13x_0" localSheetId="2">Summary!$D$199</definedName>
    <definedName name="OSRRefD22_14x_0" localSheetId="41">'201'!$D$70</definedName>
    <definedName name="OSRRefD22_14x_0" localSheetId="43">'203'!$D$72</definedName>
    <definedName name="OSRRefD22_14x_0" localSheetId="48">'300'!$D$169</definedName>
    <definedName name="OSRRefD22_14x_0" localSheetId="49">'300 &amp; 317'!$D$191</definedName>
    <definedName name="OSRRefD22_14x_0" localSheetId="50">'301'!$D$67:$D$70</definedName>
    <definedName name="OSRRefD22_14x_0" localSheetId="63">'310'!$D$78:$D$81</definedName>
    <definedName name="OSRRefD22_14x_0" localSheetId="71">'310 &amp; 491'!$D$83:$D$84</definedName>
    <definedName name="OSRRefD22_14x_0" localSheetId="57">'315'!$D$129:$D$135</definedName>
    <definedName name="OSRRefD22_14x_0" localSheetId="68">'325'!$D$79:$D$80</definedName>
    <definedName name="OSRRefD22_14x_0" localSheetId="58">'326'!$D$91:$D$93</definedName>
    <definedName name="OSRRefD22_14x_0" localSheetId="56">'331'!$D$127:$D$128</definedName>
    <definedName name="OSRRefD22_14x_0" localSheetId="73">'405'!$D$80</definedName>
    <definedName name="OSRRefD22_14x_0" localSheetId="75">'411'!$D$76</definedName>
    <definedName name="OSRRefD22_14x_0" localSheetId="78">'414'!$D$72</definedName>
    <definedName name="OSRRefD22_14x_0" localSheetId="79">'415'!$D$84:$D$85</definedName>
    <definedName name="OSRRefD22_14x_0" localSheetId="88">'433'!$D$84</definedName>
    <definedName name="OSRRefD22_14x_0" localSheetId="90">'444'!$D$78:$D$86</definedName>
    <definedName name="OSRRefD22_14x_0" localSheetId="91">'450'!$D$71:$D$77</definedName>
    <definedName name="OSRRefD22_14x_0" localSheetId="72">'491'!$D$79:$D$80</definedName>
    <definedName name="OSRRefD22_14x_0" localSheetId="86">'492'!$D$79</definedName>
    <definedName name="OSRRefD22_14x_0" localSheetId="39">'Div 2'!$D$77:$D$78</definedName>
    <definedName name="OSRRefD22_14x_0" localSheetId="47">'Div 3'!$D$173</definedName>
    <definedName name="OSRRefD22_14x_0" localSheetId="70">'Div 4'!$D$79</definedName>
    <definedName name="OSRRefD22_14x_0" localSheetId="2">Summary!$D$201</definedName>
    <definedName name="OSRRefD22_15x_0" localSheetId="41">'201'!$D$72</definedName>
    <definedName name="OSRRefD22_15x_0" localSheetId="48">'300'!$D$171</definedName>
    <definedName name="OSRRefD22_15x_0" localSheetId="49">'300 &amp; 317'!$D$193</definedName>
    <definedName name="OSRRefD22_15x_0" localSheetId="50">'301'!$D$72:$D$74</definedName>
    <definedName name="OSRRefD22_15x_0" localSheetId="63">'310'!$D$83</definedName>
    <definedName name="OSRRefD22_15x_0" localSheetId="71">'310 &amp; 491'!$D$86:$D$90</definedName>
    <definedName name="OSRRefD22_15x_0" localSheetId="57">'315'!$D$137</definedName>
    <definedName name="OSRRefD22_15x_0" localSheetId="68">'325'!$D$82</definedName>
    <definedName name="OSRRefD22_15x_0" localSheetId="58">'326'!$D$95:$D$96</definedName>
    <definedName name="OSRRefD22_15x_0" localSheetId="56">'331'!$D$130:$D$132</definedName>
    <definedName name="OSRRefD22_15x_0" localSheetId="73">'405'!$D$82</definedName>
    <definedName name="OSRRefD22_15x_0" localSheetId="78">'414'!$D$74</definedName>
    <definedName name="OSRRefD22_15x_0" localSheetId="79">'415'!$D$87</definedName>
    <definedName name="OSRRefD22_15x_0" localSheetId="90">'444'!$D$88:$D$89</definedName>
    <definedName name="OSRRefD22_15x_0" localSheetId="91">'450'!$D$79:$D$80</definedName>
    <definedName name="OSRRefD22_15x_0" localSheetId="72">'491'!$D$82:$D$86</definedName>
    <definedName name="OSRRefD22_15x_0" localSheetId="86">'492'!$D$81:$D$90</definedName>
    <definedName name="OSRRefD22_15x_0" localSheetId="39">'Div 2'!$D$80:$D$81</definedName>
    <definedName name="OSRRefD22_15x_0" localSheetId="47">'Div 3'!$D$175</definedName>
    <definedName name="OSRRefD22_15x_0" localSheetId="70">'Div 4'!$D$81:$D$84</definedName>
    <definedName name="OSRRefD22_15x_0" localSheetId="2">Summary!$D$203</definedName>
    <definedName name="OSRRefD22_16x_0" localSheetId="41">'201'!$D$74</definedName>
    <definedName name="OSRRefD22_16x_0" localSheetId="48">'300'!$D$173:$D$176</definedName>
    <definedName name="OSRRefD22_16x_0" localSheetId="49">'300 &amp; 317'!$D$195:$D$198</definedName>
    <definedName name="OSRRefD22_16x_0" localSheetId="50">'301'!$D$76</definedName>
    <definedName name="OSRRefD22_16x_0" localSheetId="63">'310'!$D$85:$D$91</definedName>
    <definedName name="OSRRefD22_16x_0" localSheetId="71">'310 &amp; 491'!$D$92</definedName>
    <definedName name="OSRRefD22_16x_0" localSheetId="57">'315'!$D$139:$D$140</definedName>
    <definedName name="OSRRefD22_16x_0" localSheetId="68">'325'!$D$84</definedName>
    <definedName name="OSRRefD22_16x_0" localSheetId="58">'326'!$D$98:$D$103</definedName>
    <definedName name="OSRRefD22_16x_0" localSheetId="56">'331'!$D$134:$D$136</definedName>
    <definedName name="OSRRefD22_16x_0" localSheetId="79">'415'!$D$89:$D$90</definedName>
    <definedName name="OSRRefD22_16x_0" localSheetId="90">'444'!$D$91</definedName>
    <definedName name="OSRRefD22_16x_0" localSheetId="91">'450'!$D$82</definedName>
    <definedName name="OSRRefD22_16x_0" localSheetId="72">'491'!$D$88</definedName>
    <definedName name="OSRRefD22_16x_0" localSheetId="86">'492'!$D$92:$D$93</definedName>
    <definedName name="OSRRefD22_16x_0" localSheetId="39">'Div 2'!$D$83:$D$87</definedName>
    <definedName name="OSRRefD22_16x_0" localSheetId="47">'Div 3'!$D$177</definedName>
    <definedName name="OSRRefD22_16x_0" localSheetId="70">'Div 4'!$D$86:$D$87</definedName>
    <definedName name="OSRRefD22_16x_0" localSheetId="2">Summary!$D$205</definedName>
    <definedName name="OSRRefD22_17x_0" localSheetId="48">'300'!$D$178:$D$181</definedName>
    <definedName name="OSRRefD22_17x_0" localSheetId="49">'300 &amp; 317'!$D$200:$D$203</definedName>
    <definedName name="OSRRefD22_17x_0" localSheetId="50">'301'!$D$78:$D$84</definedName>
    <definedName name="OSRRefD22_17x_0" localSheetId="63">'310'!$D$93:$D$94</definedName>
    <definedName name="OSRRefD22_17x_0" localSheetId="71">'310 &amp; 491'!$D$94:$D$104</definedName>
    <definedName name="OSRRefD22_17x_0" localSheetId="58">'326'!$D$105:$D$106</definedName>
    <definedName name="OSRRefD22_17x_0" localSheetId="56">'331'!$D$138:$D$139</definedName>
    <definedName name="OSRRefD22_17x_0" localSheetId="79">'415'!$D$92</definedName>
    <definedName name="OSRRefD22_17x_0" localSheetId="72">'491'!$D$90:$D$100</definedName>
    <definedName name="OSRRefD22_17x_0" localSheetId="86">'492'!$D$95</definedName>
    <definedName name="OSRRefD22_17x_0" localSheetId="39">'Div 2'!$D$89:$D$90</definedName>
    <definedName name="OSRRefD22_17x_0" localSheetId="47">'Div 3'!$D$179:$D$182</definedName>
    <definedName name="OSRRefD22_17x_0" localSheetId="70">'Div 4'!$D$89:$D$93</definedName>
    <definedName name="OSRRefD22_17x_0" localSheetId="2">Summary!$D$207</definedName>
    <definedName name="OSRRefD22_18x_0" localSheetId="48">'300'!$D$183:$D$186</definedName>
    <definedName name="OSRRefD22_18x_0" localSheetId="49">'300 &amp; 317'!$D$205:$D$208</definedName>
    <definedName name="OSRRefD22_18x_0" localSheetId="50">'301'!$D$86</definedName>
    <definedName name="OSRRefD22_18x_0" localSheetId="63">'310'!$D$96</definedName>
    <definedName name="OSRRefD22_18x_0" localSheetId="71">'310 &amp; 491'!$D$106:$D$107</definedName>
    <definedName name="OSRRefD22_18x_0" localSheetId="58">'326'!$D$108</definedName>
    <definedName name="OSRRefD22_18x_0" localSheetId="56">'331'!$D$141:$D$148</definedName>
    <definedName name="OSRRefD22_18x_0" localSheetId="72">'491'!$D$102:$D$103</definedName>
    <definedName name="OSRRefD22_18x_0" localSheetId="86">'492'!$D$97</definedName>
    <definedName name="OSRRefD22_18x_0" localSheetId="39">'Div 2'!$D$92</definedName>
    <definedName name="OSRRefD22_18x_0" localSheetId="47">'Div 3'!$D$184:$D$187</definedName>
    <definedName name="OSRRefD22_18x_0" localSheetId="70">'Div 4'!$D$95:$D$96</definedName>
    <definedName name="OSRRefD22_18x_0" localSheetId="2">Summary!$D$209:$D$212</definedName>
    <definedName name="OSRRefD22_19x_0" localSheetId="48">'300'!$D$188:$D$189</definedName>
    <definedName name="OSRRefD22_19x_0" localSheetId="49">'300 &amp; 317'!$D$210:$D$211</definedName>
    <definedName name="OSRRefD22_19x_0" localSheetId="50">'301'!$D$88</definedName>
    <definedName name="OSRRefD22_19x_0" localSheetId="63">'310'!$D$98</definedName>
    <definedName name="OSRRefD22_19x_0" localSheetId="71">'310 &amp; 491'!$D$109</definedName>
    <definedName name="OSRRefD22_19x_0" localSheetId="58">'326'!$D$110:$D$111</definedName>
    <definedName name="OSRRefD22_19x_0" localSheetId="56">'331'!$D$150:$D$151</definedName>
    <definedName name="OSRRefD22_19x_0" localSheetId="72">'491'!$D$105</definedName>
    <definedName name="OSRRefD22_19x_0" localSheetId="39">'Div 2'!$D$94:$D$95</definedName>
    <definedName name="OSRRefD22_19x_0" localSheetId="47">'Div 3'!$D$189:$D$193</definedName>
    <definedName name="OSRRefD22_19x_0" localSheetId="70">'Div 4'!$D$98:$D$108</definedName>
    <definedName name="OSRRefD22_19x_0" localSheetId="2">Summary!$D$214:$D$217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'300'!$D$127:$D$136</definedName>
    <definedName name="OSRRefD22_1x_0" localSheetId="49">'300 &amp; 317'!$D$149:$D$158</definedName>
    <definedName name="OSRRefD22_1x_0" localSheetId="50">'301'!$D$30:$D$39</definedName>
    <definedName name="OSRRefD22_1x_0" localSheetId="52">'307'!$D$48:$D$57</definedName>
    <definedName name="OSRRefD22_1x_0" localSheetId="53">'308'!$D$67:$D$76</definedName>
    <definedName name="OSRRefD22_1x_0" localSheetId="64">'309'!$D$31:$D$40</definedName>
    <definedName name="OSRRefD22_1x_0" localSheetId="63">'310'!$D$38:$D$47</definedName>
    <definedName name="OSRRefD22_1x_0" localSheetId="71">'310 &amp; 491'!$D$42:$D$51</definedName>
    <definedName name="OSRRefD22_1x_0" localSheetId="54">'311'!$D$66:$D$75</definedName>
    <definedName name="OSRRefD22_1x_0" localSheetId="65">'313'!$D$33:$D$42</definedName>
    <definedName name="OSRRefD22_1x_0" localSheetId="57">'315'!$D$90:$D$99</definedName>
    <definedName name="OSRRefD22_1x_0" localSheetId="60">'316'!$D$40:$D$49</definedName>
    <definedName name="OSRRefD22_1x_0" localSheetId="62">'317'!$D$60:$D$69</definedName>
    <definedName name="OSRRefD22_1x_0" localSheetId="66">'321'!$D$35:$D$44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'326'!$D$54:$D$63</definedName>
    <definedName name="OSRRefD22_1x_0" localSheetId="51">'330'!$D$48:$D$57</definedName>
    <definedName name="OSRRefD22_1x_0" localSheetId="56">'331'!$D$90:$D$99</definedName>
    <definedName name="OSRRefD22_1x_0" localSheetId="59">'332'!$D$40:$D$49</definedName>
    <definedName name="OSRRefD22_1x_0" localSheetId="73">'405'!$D$32:$D$41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7">'413'!$D$33:$D$42</definedName>
    <definedName name="OSRRefD22_1x_0" localSheetId="78">'414'!$D$34:$D$43</definedName>
    <definedName name="OSRRefD22_1x_0" localSheetId="79">'415'!$D$37:$D$46</definedName>
    <definedName name="OSRRefD22_1x_0" localSheetId="80">'418'!$D$32:$D$41</definedName>
    <definedName name="OSRRefD22_1x_0" localSheetId="82">'423'!$D$29:$D$38</definedName>
    <definedName name="OSRRefD22_1x_0" localSheetId="83">'424'!$D$22</definedName>
    <definedName name="OSRRefD22_1x_0" localSheetId="84">'425'!$D$26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'450'!$D$34:$D$43</definedName>
    <definedName name="OSRRefD22_1x_0" localSheetId="72">'491'!$D$39:$D$48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3'!$D$131:$D$140</definedName>
    <definedName name="OSRRefD22_1x_0" localSheetId="70">'Div 4'!$D$42:$D$51</definedName>
    <definedName name="OSRRefD22_1x_0" localSheetId="92">'Div 5'!$D$32:$D$41</definedName>
    <definedName name="OSRRefD22_1x_0" localSheetId="61">'Div 6'!$D$60:$D$69</definedName>
    <definedName name="OSRRefD22_1x_0" localSheetId="2">Summary!$D$158:$D$167</definedName>
    <definedName name="OSRRefD22_20x_0" localSheetId="48">'300'!$D$191:$D$199</definedName>
    <definedName name="OSRRefD22_20x_0" localSheetId="49">'300 &amp; 317'!$D$213:$D$221</definedName>
    <definedName name="OSRRefD22_20x_0" localSheetId="50">'301'!$D$90:$D$91</definedName>
    <definedName name="OSRRefD22_20x_0" localSheetId="63">'310'!$D$100</definedName>
    <definedName name="OSRRefD22_20x_0" localSheetId="71">'310 &amp; 491'!$D$111:$D$113</definedName>
    <definedName name="OSRRefD22_20x_0" localSheetId="58">'326'!$D$113</definedName>
    <definedName name="OSRRefD22_20x_0" localSheetId="56">'331'!$D$153</definedName>
    <definedName name="OSRRefD22_20x_0" localSheetId="72">'491'!$D$107:$D$109</definedName>
    <definedName name="OSRRefD22_20x_0" localSheetId="47">'Div 3'!$D$195:$D$196</definedName>
    <definedName name="OSRRefD22_20x_0" localSheetId="70">'Div 4'!$D$110:$D$111</definedName>
    <definedName name="OSRRefD22_20x_0" localSheetId="2">Summary!$D$219:$D$223</definedName>
    <definedName name="OSRRefD22_21x_0" localSheetId="48">'300'!$D$201:$D$202</definedName>
    <definedName name="OSRRefD22_21x_0" localSheetId="49">'300 &amp; 317'!$D$223:$D$224</definedName>
    <definedName name="OSRRefD22_21x_0" localSheetId="50">'301'!$D$93</definedName>
    <definedName name="OSRRefD22_21x_0" localSheetId="71">'310 &amp; 491'!$D$115</definedName>
    <definedName name="OSRRefD22_21x_0" localSheetId="56">'331'!$D$155:$D$156</definedName>
    <definedName name="OSRRefD22_21x_0" localSheetId="72">'491'!$D$111</definedName>
    <definedName name="OSRRefD22_21x_0" localSheetId="47">'Div 3'!$D$198:$D$206</definedName>
    <definedName name="OSRRefD22_21x_0" localSheetId="70">'Div 4'!$D$113</definedName>
    <definedName name="OSRRefD22_21x_0" localSheetId="2">Summary!$D$225:$D$226</definedName>
    <definedName name="OSRRefD22_22x_0" localSheetId="48">'300'!$D$204</definedName>
    <definedName name="OSRRefD22_22x_0" localSheetId="49">'300 &amp; 317'!$D$226</definedName>
    <definedName name="OSRRefD22_22x_0" localSheetId="56">'331'!$D$158</definedName>
    <definedName name="OSRRefD22_22x_0" localSheetId="47">'Div 3'!$D$208:$D$209</definedName>
    <definedName name="OSRRefD22_22x_0" localSheetId="70">'Div 4'!$D$115:$D$117</definedName>
    <definedName name="OSRRefD22_22x_0" localSheetId="2">Summary!$D$228:$D$238</definedName>
    <definedName name="OSRRefD22_23x_0" localSheetId="48">'300'!$D$206:$D$208</definedName>
    <definedName name="OSRRefD22_23x_0" localSheetId="49">'300 &amp; 317'!$D$228:$D$230</definedName>
    <definedName name="OSRRefD22_23x_0" localSheetId="47">'Div 3'!$D$211</definedName>
    <definedName name="OSRRefD22_23x_0" localSheetId="70">'Div 4'!$D$119</definedName>
    <definedName name="OSRRefD22_23x_0" localSheetId="2">Summary!$D$240:$D$241</definedName>
    <definedName name="OSRRefD22_24x_0" localSheetId="48">'300'!$D$210</definedName>
    <definedName name="OSRRefD22_24x_0" localSheetId="49">'300 &amp; 317'!$D$232</definedName>
    <definedName name="OSRRefD22_24x_0" localSheetId="47">'Div 3'!$D$213:$D$215</definedName>
    <definedName name="OSRRefD22_24x_0" localSheetId="2">Summary!$D$243</definedName>
    <definedName name="OSRRefD22_25x_0" localSheetId="47">'Div 3'!$D$217</definedName>
    <definedName name="OSRRefD22_25x_0" localSheetId="2">Summary!$D$245:$D$247</definedName>
    <definedName name="OSRRefD22_26x_0" localSheetId="2">Summary!$D$249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'300'!$D$138</definedName>
    <definedName name="OSRRefD22_2x_0" localSheetId="49">'300 &amp; 317'!$D$160</definedName>
    <definedName name="OSRRefD22_2x_0" localSheetId="50">'301'!$D$41</definedName>
    <definedName name="OSRRefD22_2x_0" localSheetId="52">'307'!$D$59</definedName>
    <definedName name="OSRRefD22_2x_0" localSheetId="53">'308'!$D$78</definedName>
    <definedName name="OSRRefD22_2x_0" localSheetId="64">'309'!$D$42</definedName>
    <definedName name="OSRRefD22_2x_0" localSheetId="63">'310'!$D$49</definedName>
    <definedName name="OSRRefD22_2x_0" localSheetId="71">'310 &amp; 491'!$D$53</definedName>
    <definedName name="OSRRefD22_2x_0" localSheetId="54">'311'!$D$77</definedName>
    <definedName name="OSRRefD22_2x_0" localSheetId="65">'313'!$D$44</definedName>
    <definedName name="OSRRefD22_2x_0" localSheetId="57">'315'!$D$101</definedName>
    <definedName name="OSRRefD22_2x_0" localSheetId="60">'316'!$D$51</definedName>
    <definedName name="OSRRefD22_2x_0" localSheetId="62">'317'!$D$71</definedName>
    <definedName name="OSRRefD22_2x_0" localSheetId="66">'321'!$D$46</definedName>
    <definedName name="OSRRefD22_2x_0" localSheetId="67">'322'!$D$43</definedName>
    <definedName name="OSRRefD22_2x_0" localSheetId="68">'325'!$D$45</definedName>
    <definedName name="OSRRefD22_2x_0" localSheetId="58">'326'!$D$65</definedName>
    <definedName name="OSRRefD22_2x_0" localSheetId="51">'330'!$D$59</definedName>
    <definedName name="OSRRefD22_2x_0" localSheetId="56">'331'!$D$101</definedName>
    <definedName name="OSRRefD22_2x_0" localSheetId="59">'332'!$D$51</definedName>
    <definedName name="OSRRefD22_2x_0" localSheetId="73">'405'!$D$43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7">'413'!$D$44</definedName>
    <definedName name="OSRRefD22_2x_0" localSheetId="78">'414'!$D$45</definedName>
    <definedName name="OSRRefD22_2x_0" localSheetId="79">'415'!$D$48</definedName>
    <definedName name="OSRRefD22_2x_0" localSheetId="80">'418'!$D$43</definedName>
    <definedName name="OSRRefD22_2x_0" localSheetId="82">'423'!$D$40</definedName>
    <definedName name="OSRRefD22_2x_0" localSheetId="83">'424'!$D$24</definedName>
    <definedName name="OSRRefD22_2x_0" localSheetId="84">'425'!$D$28</definedName>
    <definedName name="OSRRefD22_2x_0" localSheetId="87">'430'!$D$41</definedName>
    <definedName name="OSRRefD22_2x_0" localSheetId="88">'433'!$D$49</definedName>
    <definedName name="OSRRefD22_2x_0" localSheetId="90">'444'!$D$49</definedName>
    <definedName name="OSRRefD22_2x_0" localSheetId="91">'450'!$D$45</definedName>
    <definedName name="OSRRefD22_2x_0" localSheetId="72">'491'!$D$50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3'!$D$142</definedName>
    <definedName name="OSRRefD22_2x_0" localSheetId="70">'Div 4'!$D$53</definedName>
    <definedName name="OSRRefD22_2x_0" localSheetId="92">'Div 5'!$D$43</definedName>
    <definedName name="OSRRefD22_2x_0" localSheetId="61">'Div 6'!$D$71</definedName>
    <definedName name="OSRRefD22_2x_0" localSheetId="2">Summary!$D$169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'300'!$D$140:$D$141</definedName>
    <definedName name="OSRRefD22_3x_0" localSheetId="49">'300 &amp; 317'!$D$162:$D$163</definedName>
    <definedName name="OSRRefD22_3x_0" localSheetId="50">'301'!$D$43:$D$44</definedName>
    <definedName name="OSRRefD22_3x_0" localSheetId="52">'307'!$D$61</definedName>
    <definedName name="OSRRefD22_3x_0" localSheetId="53">'308'!$D$80</definedName>
    <definedName name="OSRRefD22_3x_0" localSheetId="64">'309'!$D$44</definedName>
    <definedName name="OSRRefD22_3x_0" localSheetId="63">'310'!$D$51</definedName>
    <definedName name="OSRRefD22_3x_0" localSheetId="71">'310 &amp; 491'!$D$55</definedName>
    <definedName name="OSRRefD22_3x_0" localSheetId="54">'311'!$D$79</definedName>
    <definedName name="OSRRefD22_3x_0" localSheetId="65">'313'!$D$46</definedName>
    <definedName name="OSRRefD22_3x_0" localSheetId="57">'315'!$D$103</definedName>
    <definedName name="OSRRefD22_3x_0" localSheetId="60">'316'!$D$53</definedName>
    <definedName name="OSRRefD22_3x_0" localSheetId="62">'317'!$D$73</definedName>
    <definedName name="OSRRefD22_3x_0" localSheetId="66">'321'!$D$48</definedName>
    <definedName name="OSRRefD22_3x_0" localSheetId="67">'322'!$D$45</definedName>
    <definedName name="OSRRefD22_3x_0" localSheetId="68">'325'!$D$47</definedName>
    <definedName name="OSRRefD22_3x_0" localSheetId="58">'326'!$D$67</definedName>
    <definedName name="OSRRefD22_3x_0" localSheetId="51">'330'!$D$61</definedName>
    <definedName name="OSRRefD22_3x_0" localSheetId="56">'331'!$D$103</definedName>
    <definedName name="OSRRefD22_3x_0" localSheetId="59">'332'!$D$53</definedName>
    <definedName name="OSRRefD22_3x_0" localSheetId="73">'405'!$D$45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7">'413'!$D$46</definedName>
    <definedName name="OSRRefD22_3x_0" localSheetId="78">'414'!$D$47</definedName>
    <definedName name="OSRRefD22_3x_0" localSheetId="79">'415'!$D$50</definedName>
    <definedName name="OSRRefD22_3x_0" localSheetId="80">'418'!$D$45</definedName>
    <definedName name="OSRRefD22_3x_0" localSheetId="82">'423'!$D$42:$D$43</definedName>
    <definedName name="OSRRefD22_3x_0" localSheetId="83">'424'!$D$26</definedName>
    <definedName name="OSRRefD22_3x_0" localSheetId="84">'425'!$D$30</definedName>
    <definedName name="OSRRefD22_3x_0" localSheetId="87">'430'!$D$43:$D$45</definedName>
    <definedName name="OSRRefD22_3x_0" localSheetId="88">'433'!$D$51</definedName>
    <definedName name="OSRRefD22_3x_0" localSheetId="90">'444'!$D$51</definedName>
    <definedName name="OSRRefD22_3x_0" localSheetId="91">'450'!$D$47</definedName>
    <definedName name="OSRRefD22_3x_0" localSheetId="72">'491'!$D$52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3'!$D$144:$D$145</definedName>
    <definedName name="OSRRefD22_3x_0" localSheetId="70">'Div 4'!$D$55</definedName>
    <definedName name="OSRRefD22_3x_0" localSheetId="92">'Div 5'!$D$45</definedName>
    <definedName name="OSRRefD22_3x_0" localSheetId="61">'Div 6'!$D$73</definedName>
    <definedName name="OSRRefD22_3x_0" localSheetId="2">Summary!$D$171:$D$172</definedName>
    <definedName name="OSRRefD22_4x_0" localSheetId="40">'200'!$D$28:$D$29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'300'!$D$143</definedName>
    <definedName name="OSRRefD22_4x_0" localSheetId="49">'300 &amp; 317'!$D$165</definedName>
    <definedName name="OSRRefD22_4x_0" localSheetId="50">'301'!$D$46</definedName>
    <definedName name="OSRRefD22_4x_0" localSheetId="52">'307'!$D$63</definedName>
    <definedName name="OSRRefD22_4x_0" localSheetId="53">'308'!$D$82</definedName>
    <definedName name="OSRRefD22_4x_0" localSheetId="64">'309'!$D$46</definedName>
    <definedName name="OSRRefD22_4x_0" localSheetId="63">'310'!$D$53</definedName>
    <definedName name="OSRRefD22_4x_0" localSheetId="71">'310 &amp; 491'!$D$57</definedName>
    <definedName name="OSRRefD22_4x_0" localSheetId="54">'311'!$D$81</definedName>
    <definedName name="OSRRefD22_4x_0" localSheetId="65">'313'!$D$48</definedName>
    <definedName name="OSRRefD22_4x_0" localSheetId="57">'315'!$D$105</definedName>
    <definedName name="OSRRefD22_4x_0" localSheetId="60">'316'!$D$55</definedName>
    <definedName name="OSRRefD22_4x_0" localSheetId="62">'317'!$D$75</definedName>
    <definedName name="OSRRefD22_4x_0" localSheetId="66">'321'!$D$50</definedName>
    <definedName name="OSRRefD22_4x_0" localSheetId="67">'322'!$D$47</definedName>
    <definedName name="OSRRefD22_4x_0" localSheetId="68">'325'!$D$49</definedName>
    <definedName name="OSRRefD22_4x_0" localSheetId="58">'326'!$D$69</definedName>
    <definedName name="OSRRefD22_4x_0" localSheetId="51">'330'!$D$63</definedName>
    <definedName name="OSRRefD22_4x_0" localSheetId="56">'331'!$D$105</definedName>
    <definedName name="OSRRefD22_4x_0" localSheetId="59">'332'!$D$55</definedName>
    <definedName name="OSRRefD22_4x_0" localSheetId="73">'405'!$D$47:$D$48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7">'413'!$D$48</definedName>
    <definedName name="OSRRefD22_4x_0" localSheetId="78">'414'!$D$49</definedName>
    <definedName name="OSRRefD22_4x_0" localSheetId="79">'415'!$D$52</definedName>
    <definedName name="OSRRefD22_4x_0" localSheetId="80">'418'!$D$47:$D$48</definedName>
    <definedName name="OSRRefD22_4x_0" localSheetId="82">'423'!$D$45</definedName>
    <definedName name="OSRRefD22_4x_0" localSheetId="84">'425'!$D$32:$D$33</definedName>
    <definedName name="OSRRefD22_4x_0" localSheetId="87">'430'!$D$47:$D$48</definedName>
    <definedName name="OSRRefD22_4x_0" localSheetId="88">'433'!$D$53</definedName>
    <definedName name="OSRRefD22_4x_0" localSheetId="90">'444'!$D$53</definedName>
    <definedName name="OSRRefD22_4x_0" localSheetId="91">'450'!$D$49</definedName>
    <definedName name="OSRRefD22_4x_0" localSheetId="72">'491'!$D$54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3'!$D$147</definedName>
    <definedName name="OSRRefD22_4x_0" localSheetId="70">'Div 4'!$D$57</definedName>
    <definedName name="OSRRefD22_4x_0" localSheetId="92">'Div 5'!$D$47</definedName>
    <definedName name="OSRRefD22_4x_0" localSheetId="61">'Div 6'!$D$75</definedName>
    <definedName name="OSRRefD22_4x_0" localSheetId="2">Summary!$D$174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'300'!$D$145:$D$146</definedName>
    <definedName name="OSRRefD22_5x_0" localSheetId="49">'300 &amp; 317'!$D$167:$D$168</definedName>
    <definedName name="OSRRefD22_5x_0" localSheetId="50">'301'!$D$48:$D$49</definedName>
    <definedName name="OSRRefD22_5x_0" localSheetId="52">'307'!$D$65:$D$66</definedName>
    <definedName name="OSRRefD22_5x_0" localSheetId="53">'308'!$D$84</definedName>
    <definedName name="OSRRefD22_5x_0" localSheetId="64">'309'!$D$48</definedName>
    <definedName name="OSRRefD22_5x_0" localSheetId="63">'310'!$D$55:$D$56</definedName>
    <definedName name="OSRRefD22_5x_0" localSheetId="71">'310 &amp; 491'!$D$59:$D$61</definedName>
    <definedName name="OSRRefD22_5x_0" localSheetId="54">'311'!$D$83</definedName>
    <definedName name="OSRRefD22_5x_0" localSheetId="65">'313'!$D$50</definedName>
    <definedName name="OSRRefD22_5x_0" localSheetId="57">'315'!$D$107</definedName>
    <definedName name="OSRRefD22_5x_0" localSheetId="60">'316'!$D$57</definedName>
    <definedName name="OSRRefD22_5x_0" localSheetId="62">'317'!$D$77</definedName>
    <definedName name="OSRRefD22_5x_0" localSheetId="66">'321'!$D$52</definedName>
    <definedName name="OSRRefD22_5x_0" localSheetId="67">'322'!$D$49</definedName>
    <definedName name="OSRRefD22_5x_0" localSheetId="68">'325'!$D$51:$D$52</definedName>
    <definedName name="OSRRefD22_5x_0" localSheetId="58">'326'!$D$71</definedName>
    <definedName name="OSRRefD22_5x_0" localSheetId="51">'330'!$D$65:$D$66</definedName>
    <definedName name="OSRRefD22_5x_0" localSheetId="56">'331'!$D$107</definedName>
    <definedName name="OSRRefD22_5x_0" localSheetId="59">'332'!$D$57</definedName>
    <definedName name="OSRRefD22_5x_0" localSheetId="73">'405'!$D$50</definedName>
    <definedName name="OSRRefD22_5x_0" localSheetId="75">'411'!$D$48</definedName>
    <definedName name="OSRRefD22_5x_0" localSheetId="76">'412'!$D$49</definedName>
    <definedName name="OSRRefD22_5x_0" localSheetId="77">'413'!$D$50</definedName>
    <definedName name="OSRRefD22_5x_0" localSheetId="78">'414'!$D$51</definedName>
    <definedName name="OSRRefD22_5x_0" localSheetId="79">'415'!$D$54:$D$55</definedName>
    <definedName name="OSRRefD22_5x_0" localSheetId="80">'418'!$D$50</definedName>
    <definedName name="OSRRefD22_5x_0" localSheetId="82">'423'!$D$47</definedName>
    <definedName name="OSRRefD22_5x_0" localSheetId="84">'425'!$D$35</definedName>
    <definedName name="OSRRefD22_5x_0" localSheetId="87">'430'!$D$50</definedName>
    <definedName name="OSRRefD22_5x_0" localSheetId="88">'433'!$D$55</definedName>
    <definedName name="OSRRefD22_5x_0" localSheetId="90">'444'!$D$55</definedName>
    <definedName name="OSRRefD22_5x_0" localSheetId="91">'450'!$D$51</definedName>
    <definedName name="OSRRefD22_5x_0" localSheetId="72">'491'!$D$56:$D$58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3'!$D$149:$D$150</definedName>
    <definedName name="OSRRefD22_5x_0" localSheetId="70">'Div 4'!$D$59:$D$61</definedName>
    <definedName name="OSRRefD22_5x_0" localSheetId="92">'Div 5'!$D$49:$D$50</definedName>
    <definedName name="OSRRefD22_5x_0" localSheetId="61">'Div 6'!$D$77</definedName>
    <definedName name="OSRRefD22_5x_0" localSheetId="2">Summary!$D$176:$D$178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'205'!$D$50:$D$52</definedName>
    <definedName name="OSRRefD22_6x_0" localSheetId="46">'206'!$D$49</definedName>
    <definedName name="OSRRefD22_6x_0" localSheetId="48">'300'!$D$148:$D$149</definedName>
    <definedName name="OSRRefD22_6x_0" localSheetId="49">'300 &amp; 317'!$D$170:$D$171</definedName>
    <definedName name="OSRRefD22_6x_0" localSheetId="50">'301'!$D$51</definedName>
    <definedName name="OSRRefD22_6x_0" localSheetId="52">'307'!$D$68</definedName>
    <definedName name="OSRRefD22_6x_0" localSheetId="53">'308'!$D$86</definedName>
    <definedName name="OSRRefD22_6x_0" localSheetId="64">'309'!$D$50:$D$51</definedName>
    <definedName name="OSRRefD22_6x_0" localSheetId="63">'310'!$D$58</definedName>
    <definedName name="OSRRefD22_6x_0" localSheetId="71">'310 &amp; 491'!$D$63</definedName>
    <definedName name="OSRRefD22_6x_0" localSheetId="54">'311'!$D$85</definedName>
    <definedName name="OSRRefD22_6x_0" localSheetId="65">'313'!$D$52:$D$53</definedName>
    <definedName name="OSRRefD22_6x_0" localSheetId="57">'315'!$D$109</definedName>
    <definedName name="OSRRefD22_6x_0" localSheetId="60">'316'!$D$59:$D$60</definedName>
    <definedName name="OSRRefD22_6x_0" localSheetId="62">'317'!$D$79:$D$80</definedName>
    <definedName name="OSRRefD22_6x_0" localSheetId="66">'321'!$D$54</definedName>
    <definedName name="OSRRefD22_6x_0" localSheetId="67">'322'!$D$51</definedName>
    <definedName name="OSRRefD22_6x_0" localSheetId="68">'325'!$D$54</definedName>
    <definedName name="OSRRefD22_6x_0" localSheetId="58">'326'!$D$73</definedName>
    <definedName name="OSRRefD22_6x_0" localSheetId="51">'330'!$D$68</definedName>
    <definedName name="OSRRefD22_6x_0" localSheetId="56">'331'!$D$109</definedName>
    <definedName name="OSRRefD22_6x_0" localSheetId="59">'332'!$D$59:$D$60</definedName>
    <definedName name="OSRRefD22_6x_0" localSheetId="73">'405'!$D$52</definedName>
    <definedName name="OSRRefD22_6x_0" localSheetId="75">'411'!$D$50</definedName>
    <definedName name="OSRRefD22_6x_0" localSheetId="76">'412'!$D$51</definedName>
    <definedName name="OSRRefD22_6x_0" localSheetId="77">'413'!$D$52</definedName>
    <definedName name="OSRRefD22_6x_0" localSheetId="78">'414'!$D$53</definedName>
    <definedName name="OSRRefD22_6x_0" localSheetId="79">'415'!$D$57</definedName>
    <definedName name="OSRRefD22_6x_0" localSheetId="80">'418'!$D$52</definedName>
    <definedName name="OSRRefD22_6x_0" localSheetId="82">'423'!$D$49</definedName>
    <definedName name="OSRRefD22_6x_0" localSheetId="87">'430'!$D$52</definedName>
    <definedName name="OSRRefD22_6x_0" localSheetId="88">'433'!$D$57</definedName>
    <definedName name="OSRRefD22_6x_0" localSheetId="90">'444'!$D$57</definedName>
    <definedName name="OSRRefD22_6x_0" localSheetId="91">'450'!$D$53</definedName>
    <definedName name="OSRRefD22_6x_0" localSheetId="72">'491'!$D$60</definedName>
    <definedName name="OSRRefD22_6x_0" localSheetId="86">'492'!$D$57</definedName>
    <definedName name="OSRRefD22_6x_0" localSheetId="93">'501'!$D$52</definedName>
    <definedName name="OSRRefD22_6x_0" localSheetId="39">'Div 2'!$D$53</definedName>
    <definedName name="OSRRefD22_6x_0" localSheetId="47">'Div 3'!$D$152:$D$153</definedName>
    <definedName name="OSRRefD22_6x_0" localSheetId="70">'Div 4'!$D$63</definedName>
    <definedName name="OSRRefD22_6x_0" localSheetId="92">'Div 5'!$D$52</definedName>
    <definedName name="OSRRefD22_6x_0" localSheetId="61">'Div 6'!$D$79:$D$80</definedName>
    <definedName name="OSRRefD22_6x_0" localSheetId="2">Summary!$D$180:$D$181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'204'!$D$53:$D$55</definedName>
    <definedName name="OSRRefD22_7x_0" localSheetId="45">'205'!$D$54</definedName>
    <definedName name="OSRRefD22_7x_0" localSheetId="46">'206'!$D$51</definedName>
    <definedName name="OSRRefD22_7x_0" localSheetId="48">'300'!$D$151:$D$152</definedName>
    <definedName name="OSRRefD22_7x_0" localSheetId="49">'300 &amp; 317'!$D$173:$D$174</definedName>
    <definedName name="OSRRefD22_7x_0" localSheetId="50">'301'!$D$53</definedName>
    <definedName name="OSRRefD22_7x_0" localSheetId="52">'307'!$D$70</definedName>
    <definedName name="OSRRefD22_7x_0" localSheetId="53">'308'!$D$88:$D$89</definedName>
    <definedName name="OSRRefD22_7x_0" localSheetId="64">'309'!$D$53:$D$54</definedName>
    <definedName name="OSRRefD22_7x_0" localSheetId="63">'310'!$D$60</definedName>
    <definedName name="OSRRefD22_7x_0" localSheetId="71">'310 &amp; 491'!$D$65</definedName>
    <definedName name="OSRRefD22_7x_0" localSheetId="54">'311'!$D$87:$D$88</definedName>
    <definedName name="OSRRefD22_7x_0" localSheetId="65">'313'!$D$55</definedName>
    <definedName name="OSRRefD22_7x_0" localSheetId="57">'315'!$D$111:$D$112</definedName>
    <definedName name="OSRRefD22_7x_0" localSheetId="60">'316'!$D$62:$D$63</definedName>
    <definedName name="OSRRefD22_7x_0" localSheetId="62">'317'!$D$82</definedName>
    <definedName name="OSRRefD22_7x_0" localSheetId="66">'321'!$D$56:$D$57</definedName>
    <definedName name="OSRRefD22_7x_0" localSheetId="67">'322'!$D$53:$D$54</definedName>
    <definedName name="OSRRefD22_7x_0" localSheetId="68">'325'!$D$56</definedName>
    <definedName name="OSRRefD22_7x_0" localSheetId="58">'326'!$D$75</definedName>
    <definedName name="OSRRefD22_7x_0" localSheetId="51">'330'!$D$70</definedName>
    <definedName name="OSRRefD22_7x_0" localSheetId="56">'331'!$D$111</definedName>
    <definedName name="OSRRefD22_7x_0" localSheetId="59">'332'!$D$62:$D$63</definedName>
    <definedName name="OSRRefD22_7x_0" localSheetId="73">'405'!$D$54</definedName>
    <definedName name="OSRRefD22_7x_0" localSheetId="75">'411'!$D$52</definedName>
    <definedName name="OSRRefD22_7x_0" localSheetId="76">'412'!$D$53</definedName>
    <definedName name="OSRRefD22_7x_0" localSheetId="77">'413'!$D$54</definedName>
    <definedName name="OSRRefD22_7x_0" localSheetId="78">'414'!$D$55</definedName>
    <definedName name="OSRRefD22_7x_0" localSheetId="79">'415'!$D$59</definedName>
    <definedName name="OSRRefD22_7x_0" localSheetId="80">'418'!$D$54</definedName>
    <definedName name="OSRRefD22_7x_0" localSheetId="88">'433'!$D$59</definedName>
    <definedName name="OSRRefD22_7x_0" localSheetId="90">'444'!$D$59</definedName>
    <definedName name="OSRRefD22_7x_0" localSheetId="91">'450'!$D$55</definedName>
    <definedName name="OSRRefD22_7x_0" localSheetId="72">'491'!$D$62</definedName>
    <definedName name="OSRRefD22_7x_0" localSheetId="86">'492'!$D$59</definedName>
    <definedName name="OSRRefD22_7x_0" localSheetId="93">'501'!$D$54</definedName>
    <definedName name="OSRRefD22_7x_0" localSheetId="39">'Div 2'!$D$55</definedName>
    <definedName name="OSRRefD22_7x_0" localSheetId="47">'Div 3'!$D$155:$D$156</definedName>
    <definedName name="OSRRefD22_7x_0" localSheetId="70">'Div 4'!$D$65</definedName>
    <definedName name="OSRRefD22_7x_0" localSheetId="92">'Div 5'!$D$54</definedName>
    <definedName name="OSRRefD22_7x_0" localSheetId="61">'Div 6'!$D$82</definedName>
    <definedName name="OSRRefD22_7x_0" localSheetId="2">Summary!$D$183:$D$184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'300'!$D$154</definedName>
    <definedName name="OSRRefD22_8x_0" localSheetId="49">'300 &amp; 317'!$D$176</definedName>
    <definedName name="OSRRefD22_8x_0" localSheetId="50">'301'!$D$55</definedName>
    <definedName name="OSRRefD22_8x_0" localSheetId="52">'307'!$D$72</definedName>
    <definedName name="OSRRefD22_8x_0" localSheetId="53">'308'!$D$91</definedName>
    <definedName name="OSRRefD22_8x_0" localSheetId="64">'309'!$D$56:$D$57</definedName>
    <definedName name="OSRRefD22_8x_0" localSheetId="63">'310'!$D$62</definedName>
    <definedName name="OSRRefD22_8x_0" localSheetId="71">'310 &amp; 491'!$D$67:$D$68</definedName>
    <definedName name="OSRRefD22_8x_0" localSheetId="54">'311'!$D$90</definedName>
    <definedName name="OSRRefD22_8x_0" localSheetId="65">'313'!$D$57:$D$59</definedName>
    <definedName name="OSRRefD22_8x_0" localSheetId="57">'315'!$D$114</definedName>
    <definedName name="OSRRefD22_8x_0" localSheetId="60">'316'!$D$65</definedName>
    <definedName name="OSRRefD22_8x_0" localSheetId="62">'317'!$D$84</definedName>
    <definedName name="OSRRefD22_8x_0" localSheetId="66">'321'!$D$59:$D$60</definedName>
    <definedName name="OSRRefD22_8x_0" localSheetId="67">'322'!$D$56:$D$57</definedName>
    <definedName name="OSRRefD22_8x_0" localSheetId="68">'325'!$D$58</definedName>
    <definedName name="OSRRefD22_8x_0" localSheetId="58">'326'!$D$77:$D$78</definedName>
    <definedName name="OSRRefD22_8x_0" localSheetId="51">'330'!$D$72</definedName>
    <definedName name="OSRRefD22_8x_0" localSheetId="56">'331'!$D$113:$D$114</definedName>
    <definedName name="OSRRefD22_8x_0" localSheetId="59">'332'!$D$65</definedName>
    <definedName name="OSRRefD22_8x_0" localSheetId="73">'405'!$D$56:$D$57</definedName>
    <definedName name="OSRRefD22_8x_0" localSheetId="75">'411'!$D$54</definedName>
    <definedName name="OSRRefD22_8x_0" localSheetId="76">'412'!$D$55:$D$56</definedName>
    <definedName name="OSRRefD22_8x_0" localSheetId="77">'413'!$D$56:$D$58</definedName>
    <definedName name="OSRRefD22_8x_0" localSheetId="78">'414'!$D$57:$D$58</definedName>
    <definedName name="OSRRefD22_8x_0" localSheetId="79">'415'!$D$61</definedName>
    <definedName name="OSRRefD22_8x_0" localSheetId="80">'418'!$D$56:$D$58</definedName>
    <definedName name="OSRRefD22_8x_0" localSheetId="88">'433'!$D$61</definedName>
    <definedName name="OSRRefD22_8x_0" localSheetId="90">'444'!$D$61</definedName>
    <definedName name="OSRRefD22_8x_0" localSheetId="91">'450'!$D$57</definedName>
    <definedName name="OSRRefD22_8x_0" localSheetId="72">'491'!$D$64</definedName>
    <definedName name="OSRRefD22_8x_0" localSheetId="86">'492'!$D$61</definedName>
    <definedName name="OSRRefD22_8x_0" localSheetId="93">'501'!$D$56</definedName>
    <definedName name="OSRRefD22_8x_0" localSheetId="39">'Div 2'!$D$57</definedName>
    <definedName name="OSRRefD22_8x_0" localSheetId="47">'Div 3'!$D$158</definedName>
    <definedName name="OSRRefD22_8x_0" localSheetId="70">'Div 4'!$D$67</definedName>
    <definedName name="OSRRefD22_8x_0" localSheetId="92">'Div 5'!$D$56</definedName>
    <definedName name="OSRRefD22_8x_0" localSheetId="61">'Div 6'!$D$84</definedName>
    <definedName name="OSRRefD22_8x_0" localSheetId="2">Summary!$D$186</definedName>
    <definedName name="OSRRefD22_9x_0" localSheetId="41">'201'!$D$56</definedName>
    <definedName name="OSRRefD22_9x_0" localSheetId="42">'202'!$D$58:$D$60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'300'!$D$156</definedName>
    <definedName name="OSRRefD22_9x_0" localSheetId="49">'300 &amp; 317'!$D$178</definedName>
    <definedName name="OSRRefD22_9x_0" localSheetId="50">'301'!$D$57</definedName>
    <definedName name="OSRRefD22_9x_0" localSheetId="52">'307'!$D$74:$D$75</definedName>
    <definedName name="OSRRefD22_9x_0" localSheetId="53">'308'!$D$93:$D$94</definedName>
    <definedName name="OSRRefD22_9x_0" localSheetId="64">'309'!$D$59</definedName>
    <definedName name="OSRRefD22_9x_0" localSheetId="63">'310'!$D$64</definedName>
    <definedName name="OSRRefD22_9x_0" localSheetId="71">'310 &amp; 491'!$D$70</definedName>
    <definedName name="OSRRefD22_9x_0" localSheetId="54">'311'!$D$92:$D$93</definedName>
    <definedName name="OSRRefD22_9x_0" localSheetId="65">'313'!$D$61:$D$62</definedName>
    <definedName name="OSRRefD22_9x_0" localSheetId="57">'315'!$D$116</definedName>
    <definedName name="OSRRefD22_9x_0" localSheetId="60">'316'!$D$67:$D$71</definedName>
    <definedName name="OSRRefD22_9x_0" localSheetId="62">'317'!$D$86</definedName>
    <definedName name="OSRRefD22_9x_0" localSheetId="66">'321'!$D$62:$D$63</definedName>
    <definedName name="OSRRefD22_9x_0" localSheetId="67">'322'!$D$59:$D$62</definedName>
    <definedName name="OSRRefD22_9x_0" localSheetId="68">'325'!$D$60</definedName>
    <definedName name="OSRRefD22_9x_0" localSheetId="58">'326'!$D$80</definedName>
    <definedName name="OSRRefD22_9x_0" localSheetId="51">'330'!$D$74:$D$75</definedName>
    <definedName name="OSRRefD22_9x_0" localSheetId="56">'331'!$D$116:$D$117</definedName>
    <definedName name="OSRRefD22_9x_0" localSheetId="59">'332'!$D$67:$D$71</definedName>
    <definedName name="OSRRefD22_9x_0" localSheetId="73">'405'!$D$59</definedName>
    <definedName name="OSRRefD22_9x_0" localSheetId="75">'411'!$D$56:$D$57</definedName>
    <definedName name="OSRRefD22_9x_0" localSheetId="76">'412'!$D$58</definedName>
    <definedName name="OSRRefD22_9x_0" localSheetId="77">'413'!$D$60:$D$61</definedName>
    <definedName name="OSRRefD22_9x_0" localSheetId="78">'414'!$D$60</definedName>
    <definedName name="OSRRefD22_9x_0" localSheetId="79">'415'!$D$63</definedName>
    <definedName name="OSRRefD22_9x_0" localSheetId="80">'418'!$D$60:$D$61</definedName>
    <definedName name="OSRRefD22_9x_0" localSheetId="88">'433'!$D$63</definedName>
    <definedName name="OSRRefD22_9x_0" localSheetId="90">'444'!$D$63</definedName>
    <definedName name="OSRRefD22_9x_0" localSheetId="91">'450'!$D$59</definedName>
    <definedName name="OSRRefD22_9x_0" localSheetId="72">'491'!$D$66</definedName>
    <definedName name="OSRRefD22_9x_0" localSheetId="86">'492'!$D$63</definedName>
    <definedName name="OSRRefD22_9x_0" localSheetId="93">'501'!$D$58:$D$61</definedName>
    <definedName name="OSRRefD22_9x_0" localSheetId="39">'Div 2'!$D$59:$D$60</definedName>
    <definedName name="OSRRefD22_9x_0" localSheetId="47">'Div 3'!$D$160</definedName>
    <definedName name="OSRRefD22_9x_0" localSheetId="70">'Div 4'!$D$69</definedName>
    <definedName name="OSRRefD22_9x_0" localSheetId="92">'Div 5'!$D$58:$D$61</definedName>
    <definedName name="OSRRefD22_9x_0" localSheetId="61">'Div 6'!$D$86</definedName>
    <definedName name="OSRRefD22_9x_0" localSheetId="2">Summary!$D$188</definedName>
    <definedName name="OSRRefD22x_0" localSheetId="40">'200'!$D$20,'200'!$D$22,'200'!$D$24,'200'!$D$26,'200'!$D$28:$D$29</definedName>
    <definedName name="OSRRefD22x_0" localSheetId="41">'201'!$D$21:$D$29,'201'!$D$31:$D$40,'201'!$D$42,'201'!$D$44,'201'!$D$46,'201'!$D$48,'201'!$D$50,'201'!$D$52,'201'!$D$54,'201'!$D$56,'201'!$D$58:$D$60,'201'!$D$62,'201'!$D$64,'201'!$D$66:$D$68,'201'!$D$70,'201'!$D$72,'201'!$D$74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$116:$D$125,'300'!$D$127:$D$136,'300'!$D$138,'300'!$D$140:$D$141,'300'!$D$143,'300'!$D$145:$D$146,'300'!$D$148:$D$149,'300'!$D$151:$D$152,'300'!$D$154,'300'!$D$156,'300'!$D$158:$D$159,'300'!$D$161:$D$163,'300'!$D$165,'300'!$D$167,'300'!$D$169,'300'!$D$171,'300'!$D$173:$D$176,'300'!$D$178:$D$181,'300'!$D$183:$D$186,'300'!$D$188:$D$189,'300'!$D$191:$D$199,'300'!$D$201:$D$202,'300'!$D$204,'300'!$D$206:$D$208,'300'!$D$210</definedName>
    <definedName name="OSRRefD22x_0" localSheetId="49">'300 &amp; 317'!$D$138:$D$147,'300 &amp; 317'!$D$149:$D$158,'300 &amp; 317'!$D$160,'300 &amp; 317'!$D$162:$D$163,'300 &amp; 317'!$D$165,'300 &amp; 317'!$D$167:$D$168,'300 &amp; 317'!$D$170:$D$171,'300 &amp; 317'!$D$173:$D$174,'300 &amp; 317'!$D$176,'300 &amp; 317'!$D$178,'300 &amp; 317'!$D$180:$D$181,'300 &amp; 317'!$D$183:$D$185,'300 &amp; 317'!$D$187,'300 &amp; 317'!$D$189,'300 &amp; 317'!$D$191,'300 &amp; 317'!$D$193,'300 &amp; 317'!$D$195:$D$198,'300 &amp; 317'!$D$200:$D$203,'300 &amp; 317'!$D$205:$D$208,'300 &amp; 317'!$D$210:$D$211,'300 &amp; 317'!$D$213:$D$221,'300 &amp; 317'!$D$223:$D$224,'300 &amp; 317'!$D$226,'300 &amp; 317'!$D$228:$D$230,'300 &amp; 317'!$D$232</definedName>
    <definedName name="OSRRefD22x_0" localSheetId="50">'301'!$D$20:$D$28,'301'!$D$30:$D$39,'301'!$D$41,'301'!$D$43:$D$44,'301'!$D$46,'301'!$D$48:$D$49,'301'!$D$51,'301'!$D$53,'301'!$D$55,'301'!$D$57,'301'!$D$59,'301'!$D$61,'301'!$D$63,'301'!$D$65,'301'!$D$67:$D$70,'301'!$D$72:$D$74,'301'!$D$76,'301'!$D$78:$D$84,'301'!$D$86,'301'!$D$88,'301'!$D$90:$D$91,'301'!$D$93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'308'!$D$56:$D$65,'308'!$D$67:$D$76,'308'!$D$78,'308'!$D$80,'308'!$D$82,'308'!$D$84,'308'!$D$86,'308'!$D$88:$D$89,'308'!$D$91,'308'!$D$93:$D$94,'308'!$D$96,'308'!$D$98:$D$100,'308'!$D$102:$D$103,'308'!$D$105</definedName>
    <definedName name="OSRRefD22x_0" localSheetId="64">'309'!$D$22:$D$29,'309'!$D$31:$D$40,'309'!$D$42,'309'!$D$44,'309'!$D$46,'309'!$D$48,'309'!$D$50:$D$51,'309'!$D$53:$D$54,'309'!$D$56:$D$57,'309'!$D$59</definedName>
    <definedName name="OSRRefD22x_0" localSheetId="63">'310'!$D$28:$D$36,'310'!$D$38:$D$47,'310'!$D$49,'310'!$D$51,'310'!$D$53,'310'!$D$55:$D$56,'310'!$D$58,'310'!$D$60,'310'!$D$62,'310'!$D$64,'310'!$D$66,'310'!$D$68,'310'!$D$70:$D$73,'310'!$D$75:$D$76,'310'!$D$78:$D$81,'310'!$D$83,'310'!$D$85:$D$91,'310'!$D$93:$D$94,'310'!$D$96,'310'!$D$98,'310'!$D$100</definedName>
    <definedName name="OSRRefD22x_0" localSheetId="71">'310 &amp; 491'!$D$32:$D$40,'310 &amp; 491'!$D$42:$D$51,'310 &amp; 491'!$D$53,'310 &amp; 491'!$D$55,'310 &amp; 491'!$D$57,'310 &amp; 491'!$D$59:$D$61,'310 &amp; 491'!$D$63,'310 &amp; 491'!$D$65,'310 &amp; 491'!$D$67:$D$68,'310 &amp; 491'!$D$70,'310 &amp; 491'!$D$72,'310 &amp; 491'!$D$74,'310 &amp; 491'!$D$76,'310 &amp; 491'!$D$78:$D$81,'310 &amp; 491'!$D$83:$D$84,'310 &amp; 491'!$D$86:$D$90,'310 &amp; 491'!$D$92,'310 &amp; 491'!$D$94:$D$104,'310 &amp; 491'!$D$106:$D$107,'310 &amp; 491'!$D$109,'310 &amp; 491'!$D$111:$D$113,'310 &amp; 491'!$D$115</definedName>
    <definedName name="OSRRefD22x_0" localSheetId="54">'311'!$D$55:$D$64,'311'!$D$66:$D$75,'311'!$D$77,'311'!$D$79,'311'!$D$81,'311'!$D$83,'311'!$D$85,'311'!$D$87:$D$88,'311'!$D$90,'311'!$D$92:$D$93,'311'!$D$95,'311'!$D$97:$D$99,'311'!$D$101:$D$102,'311'!$D$104</definedName>
    <definedName name="OSRRefD22x_0" localSheetId="65">'313'!$D$23:$D$31,'313'!$D$33:$D$42,'313'!$D$44,'313'!$D$46,'313'!$D$48,'313'!$D$50,'313'!$D$52:$D$53,'313'!$D$55,'313'!$D$57:$D$59,'313'!$D$61:$D$62,'313'!$D$64,'313'!$D$66</definedName>
    <definedName name="OSRRefD22x_0" localSheetId="57">'315'!$D$80:$D$88,'315'!$D$90:$D$99,'315'!$D$101,'315'!$D$103,'315'!$D$105,'315'!$D$107,'315'!$D$109,'315'!$D$111:$D$112,'315'!$D$114,'315'!$D$116,'315'!$D$118,'315'!$D$120,'315'!$D$122:$D$124,'315'!$D$126:$D$127,'315'!$D$129:$D$135,'315'!$D$137,'315'!$D$139:$D$140</definedName>
    <definedName name="OSRRefD22x_0" localSheetId="60">'316'!$D$30:$D$38,'316'!$D$40:$D$49,'316'!$D$51,'316'!$D$53,'316'!$D$55,'316'!$D$57,'316'!$D$59:$D$60,'316'!$D$62:$D$63,'316'!$D$65,'316'!$D$67:$D$71,'316'!$D$73,'316'!$D$75</definedName>
    <definedName name="OSRRefD22x_0" localSheetId="62">'317'!$D$49:$D$58,'317'!$D$60:$D$69,'317'!$D$71,'317'!$D$73,'317'!$D$75,'317'!$D$77,'317'!$D$79:$D$80,'317'!$D$82,'317'!$D$84,'317'!$D$86,'317'!$D$88:$D$90,'317'!$D$92,'317'!$D$94</definedName>
    <definedName name="OSRRefD22x_0" localSheetId="66">'321'!$D$25:$D$33,'321'!$D$35:$D$44,'321'!$D$46,'321'!$D$48,'321'!$D$50,'321'!$D$52,'321'!$D$54,'321'!$D$56:$D$57,'321'!$D$59:$D$60,'321'!$D$62:$D$63,'321'!$D$65:$D$67,'321'!$D$69:$D$70,'321'!$D$72,'321'!$D$74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'325'!$D$25:$D$32,'325'!$D$34:$D$43,'325'!$D$45,'325'!$D$47,'325'!$D$49,'325'!$D$51:$D$52,'325'!$D$54,'325'!$D$56,'325'!$D$58,'325'!$D$60,'325'!$D$62:$D$65,'325'!$D$67:$D$69,'325'!$D$71,'325'!$D$73:$D$77,'325'!$D$79:$D$80,'325'!$D$82,'325'!$D$84</definedName>
    <definedName name="OSRRefD22x_0" localSheetId="58">'326'!$D$44:$D$52,'326'!$D$54:$D$63,'326'!$D$65,'326'!$D$67,'326'!$D$69,'326'!$D$71,'326'!$D$73,'326'!$D$75,'326'!$D$77:$D$78,'326'!$D$80,'326'!$D$82,'326'!$D$84,'326'!$D$86,'326'!$D$88:$D$89,'326'!$D$91:$D$93,'326'!$D$95:$D$96,'326'!$D$98:$D$103,'326'!$D$105:$D$106,'326'!$D$108,'326'!$D$110:$D$111,'326'!$D$113</definedName>
    <definedName name="OSRRefD22x_0" localSheetId="69">'327'!$D$24</definedName>
    <definedName name="OSRRefD22x_0" localSheetId="51">'330'!$D$39:$D$46,'330'!$D$48:$D$57,'330'!$D$59,'330'!$D$61,'330'!$D$63,'330'!$D$65:$D$66,'330'!$D$68,'330'!$D$70,'330'!$D$72,'330'!$D$74:$D$75,'330'!$D$77:$D$78,'330'!$D$80:$D$83,'330'!$D$85:$D$86,'330'!$D$88</definedName>
    <definedName name="OSRRefD22x_0" localSheetId="56">'331'!$D$80:$D$88,'331'!$D$90:$D$99,'331'!$D$101,'331'!$D$103,'331'!$D$105,'331'!$D$107,'331'!$D$109,'331'!$D$111,'331'!$D$113:$D$114,'331'!$D$116:$D$117,'331'!$D$119,'331'!$D$121,'331'!$D$123,'331'!$D$125,'331'!$D$127:$D$128,'331'!$D$130:$D$132,'331'!$D$134:$D$136,'331'!$D$138:$D$139,'331'!$D$141:$D$148,'331'!$D$150:$D$151,'331'!$D$153,'331'!$D$155:$D$156,'331'!$D$158</definedName>
    <definedName name="OSRRefD22x_0" localSheetId="59">'332'!$D$30:$D$38,'332'!$D$40:$D$49,'332'!$D$51,'332'!$D$53,'332'!$D$55,'332'!$D$57,'332'!$D$59:$D$60,'332'!$D$62:$D$63,'332'!$D$65,'332'!$D$67:$D$71,'332'!$D$73,'332'!$D$75</definedName>
    <definedName name="OSRRefD22x_0" localSheetId="73">'405'!$D$23:$D$30,'405'!$D$32:$D$41,'405'!$D$43,'405'!$D$45,'405'!$D$47:$D$48,'405'!$D$50,'405'!$D$52,'405'!$D$54,'405'!$D$56:$D$57,'405'!$D$59,'405'!$D$61:$D$64,'405'!$D$66,'405'!$D$68:$D$76,'405'!$D$78,'405'!$D$80,'405'!$D$82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'411'!$D$20:$D$28,'411'!$D$30:$D$39,'411'!$D$41,'411'!$D$43,'411'!$D$45:$D$46,'411'!$D$48,'411'!$D$50,'411'!$D$52,'411'!$D$54,'411'!$D$56:$D$57,'411'!$D$59:$D$62,'411'!$D$64:$D$70,'411'!$D$72,'411'!$D$74,'411'!$D$76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7">'413'!$D$23:$D$31,'413'!$D$33:$D$42,'413'!$D$44,'413'!$D$46,'413'!$D$48,'413'!$D$50,'413'!$D$52,'413'!$D$54,'413'!$D$56:$D$58,'413'!$D$60:$D$61,'413'!$D$63:$D$70,'413'!$D$72:$D$73,'413'!$D$75</definedName>
    <definedName name="OSRRefD22x_0" localSheetId="78">'414'!$D$24:$D$32,'414'!$D$34:$D$43,'414'!$D$45,'414'!$D$47,'414'!$D$49,'414'!$D$51,'414'!$D$53,'414'!$D$55,'414'!$D$57:$D$58,'414'!$D$60,'414'!$D$62,'414'!$D$64,'414'!$D$66:$D$68,'414'!$D$70,'414'!$D$72,'414'!$D$74</definedName>
    <definedName name="OSRRefD22x_0" localSheetId="79">'415'!$D$27:$D$35,'415'!$D$37:$D$46,'415'!$D$48,'415'!$D$50,'415'!$D$52,'415'!$D$54:$D$55,'415'!$D$57,'415'!$D$59,'415'!$D$61,'415'!$D$63,'415'!$D$65:$D$66,'415'!$D$68:$D$72,'415'!$D$74,'415'!$D$76:$D$82,'415'!$D$84:$D$85,'415'!$D$87,'415'!$D$89:$D$90,'415'!$D$92</definedName>
    <definedName name="OSRRefD22x_0" localSheetId="80">'418'!$D$23:$D$30,'418'!$D$32:$D$41,'418'!$D$43,'418'!$D$45,'418'!$D$47:$D$48,'418'!$D$50,'418'!$D$52,'418'!$D$54,'418'!$D$56:$D$58,'418'!$D$60:$D$61,'418'!$D$63,'418'!$D$65:$D$74,'418'!$D$76:$D$77,'418'!$D$79</definedName>
    <definedName name="OSRRefD22x_0" localSheetId="81">'420'!$D$21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'425'!$D$20:$D$24,'425'!$D$26,'425'!$D$28,'425'!$D$30,'425'!$D$32:$D$33,'425'!$D$35</definedName>
    <definedName name="OSRRefD22x_0" localSheetId="87">'430'!$D$20:$D$28,'430'!$D$30:$D$39,'430'!$D$41,'430'!$D$43:$D$45,'430'!$D$47:$D$48,'430'!$D$50,'430'!$D$52</definedName>
    <definedName name="OSRRefD22x_0" localSheetId="88">'433'!$D$27:$D$36,'433'!$D$38:$D$47,'433'!$D$49,'433'!$D$51,'433'!$D$53,'433'!$D$55,'433'!$D$57,'433'!$D$59,'433'!$D$61,'433'!$D$63,'433'!$D$65,'433'!$D$67:$D$68,'433'!$D$70:$D$73,'433'!$D$75:$D$82,'433'!$D$84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'444'!$D$27:$D$36,'444'!$D$38:$D$47,'444'!$D$49,'444'!$D$51,'444'!$D$53,'444'!$D$55,'444'!$D$57,'444'!$D$59,'444'!$D$61,'444'!$D$63,'444'!$D$65,'444'!$D$67:$D$70,'444'!$D$72:$D$74,'444'!$D$76,'444'!$D$78:$D$86,'444'!$D$88:$D$89,'444'!$D$91</definedName>
    <definedName name="OSRRefD22x_0" localSheetId="91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$29:$D$37,'491'!$D$39:$D$48,'491'!$D$50,'491'!$D$52,'491'!$D$54,'491'!$D$56:$D$58,'491'!$D$60,'491'!$D$62,'491'!$D$64,'491'!$D$66,'491'!$D$68,'491'!$D$70,'491'!$D$72,'491'!$D$74:$D$77,'491'!$D$79:$D$80,'491'!$D$82:$D$86,'491'!$D$88,'491'!$D$90:$D$100,'491'!$D$102:$D$103,'491'!$D$105,'491'!$D$107:$D$109,'491'!$D$111</definedName>
    <definedName name="OSRRefD22x_0" localSheetId="86">'492'!$D$27:$D$36,'492'!$D$38:$D$47,'492'!$D$49,'492'!$D$51,'492'!$D$53,'492'!$D$55,'492'!$D$57,'492'!$D$59,'492'!$D$61,'492'!$D$63,'492'!$D$65,'492'!$D$67,'492'!$D$69:$D$72,'492'!$D$74:$D$77,'492'!$D$79,'492'!$D$81:$D$90,'492'!$D$92:$D$93,'492'!$D$95,'492'!$D$97</definedName>
    <definedName name="OSRRefD22x_0" localSheetId="93">'501'!$D$21:$D$30,'501'!$D$32:$D$41,'501'!$D$43,'501'!$D$45,'501'!$D$47,'501'!$D$49:$D$50,'501'!$D$52,'501'!$D$54,'501'!$D$56,'501'!$D$58:$D$61,'501'!$D$63:$D$64,'501'!$D$66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7">'Div 3'!$D$120:$D$129,'Div 3'!$D$131:$D$140,'Div 3'!$D$142,'Div 3'!$D$144:$D$145,'Div 3'!$D$147,'Div 3'!$D$149:$D$150,'Div 3'!$D$152:$D$153,'Div 3'!$D$155:$D$156,'Div 3'!$D$158,'Div 3'!$D$160,'Div 3'!$D$162:$D$163,'Div 3'!$D$165:$D$167,'Div 3'!$D$169,'Div 3'!$D$171,'Div 3'!$D$173,'Div 3'!$D$175,'Div 3'!$D$177,'Div 3'!$D$179:$D$182,'Div 3'!$D$184:$D$187,'Div 3'!$D$189:$D$193,'Div 3'!$D$195:$D$196,'Div 3'!$D$198:$D$206,'Div 3'!$D$208:$D$209,'Div 3'!$D$211,'Div 3'!$D$213:$D$215,'Div 3'!$D$217</definedName>
    <definedName name="OSRRefD22x_0" localSheetId="70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4'!$D$95:$D$96,'Div 4'!$D$98:$D$108,'Div 4'!$D$110:$D$111,'Div 4'!$D$113,'Div 4'!$D$115:$D$117,'Div 4'!$D$119</definedName>
    <definedName name="OSRRefD22x_0" localSheetId="92">'Div 5'!$D$21:$D$30,'Div 5'!$D$32:$D$41,'Div 5'!$D$43,'Div 5'!$D$45,'Div 5'!$D$47,'Div 5'!$D$49:$D$50,'Div 5'!$D$52,'Div 5'!$D$54,'Div 5'!$D$56,'Div 5'!$D$58:$D$61,'Div 5'!$D$63:$D$64,'Div 5'!$D$66</definedName>
    <definedName name="OSRRefD22x_0" localSheetId="61">'Div 6'!$D$49:$D$58,'Div 6'!$D$60:$D$69,'Div 6'!$D$71,'Div 6'!$D$73,'Div 6'!$D$75,'Div 6'!$D$77,'Div 6'!$D$79:$D$80,'Div 6'!$D$82,'Div 6'!$D$84,'Div 6'!$D$86,'Div 6'!$D$88:$D$90,'Div 6'!$D$92,'Div 6'!$D$94</definedName>
    <definedName name="OSRRefD22x_0" localSheetId="2">Summary!$D$147:$D$156,Summary!$D$158:$D$167,Summary!$D$169,Summary!$D$171:$D$172,Summary!$D$174,Summary!$D$176:$D$178,Summary!$D$180:$D$181,Summary!$D$183:$D$184,Summary!$D$186,Summary!$D$188,Summary!$D$190:$D$191,Summary!$D$193:$D$195,Summary!$D$197,Summary!$D$199,Summary!$D$201,Summary!$D$203,Summary!$D$205,Summary!$D$207,Summary!$D$209:$D$212,Summary!$D$214:$D$217,Summary!$D$219:$D$223,Summary!$D$225:$D$226,Summary!$D$228:$D$238,Summary!$D$240:$D$241,Summary!$D$243,Summary!$D$245:$D$247,Summary!$D$249</definedName>
    <definedName name="OSRRefD25x_0" localSheetId="42">'202'!$D$69:$D$71</definedName>
    <definedName name="OSRRefD25x_0" localSheetId="48">'300'!$D$213:$D$216</definedName>
    <definedName name="OSRRefD25x_0" localSheetId="49">'300 &amp; 317'!$D$235:$D$239</definedName>
    <definedName name="OSRRefD25x_0" localSheetId="50">'301'!$D$96:$D$97</definedName>
    <definedName name="OSRRefD25x_0" localSheetId="53">'308'!$D$108:$D$110</definedName>
    <definedName name="OSRRefD25x_0" localSheetId="71">'310 &amp; 491'!$D$118:$D$121</definedName>
    <definedName name="OSRRefD25x_0" localSheetId="54">'311'!$D$107:$D$109</definedName>
    <definedName name="OSRRefD25x_0" localSheetId="57">'315'!$D$143:$D$145</definedName>
    <definedName name="OSRRefD25x_0" localSheetId="60">'316'!$D$78</definedName>
    <definedName name="OSRRefD25x_0" localSheetId="62">'317'!$D$97:$D$98</definedName>
    <definedName name="OSRRefD25x_0" localSheetId="56">'331'!$D$161:$D$163</definedName>
    <definedName name="OSRRefD25x_0" localSheetId="59">'332'!$D$78</definedName>
    <definedName name="OSRRefD25x_0" localSheetId="75">'411'!$D$79:$D$80</definedName>
    <definedName name="OSRRefD25x_0" localSheetId="80">'418'!$D$82</definedName>
    <definedName name="OSRRefD25x_0" localSheetId="82">'423'!$D$52:$D$54</definedName>
    <definedName name="OSRRefD25x_0" localSheetId="85">'455'!$D$21:$D$22</definedName>
    <definedName name="OSRRefD25x_0" localSheetId="72">'491'!$D$114:$D$117</definedName>
    <definedName name="OSRRefD25x_0" localSheetId="93">'501'!$D$69</definedName>
    <definedName name="OSRRefD25x_0" localSheetId="39">'Div 2'!$D$98:$D$100</definedName>
    <definedName name="OSRRefD25x_0" localSheetId="47">'Div 3'!$D$220:$D$223</definedName>
    <definedName name="OSRRefD25x_0" localSheetId="70">'Div 4'!$D$122:$D$125</definedName>
    <definedName name="OSRRefD25x_0" localSheetId="92">'Div 5'!$D$69</definedName>
    <definedName name="OSRRefD25x_0" localSheetId="61">'Div 6'!$D$97:$D$98</definedName>
    <definedName name="OSRRefD25x_0" localSheetId="2">Summary!$D$252:$D$258</definedName>
    <definedName name="OSRRefH13x_0" localSheetId="41">'201'!$H$13</definedName>
    <definedName name="OSRRefH13x_0" localSheetId="42">'202'!$H$13</definedName>
    <definedName name="OSRRefH13x_0" localSheetId="48">'300'!$H$13:$H$74</definedName>
    <definedName name="OSRRefH13x_0" localSheetId="49">'300 &amp; 317'!$H$13:$H$88</definedName>
    <definedName name="OSRRefH13x_0" localSheetId="52">'307'!$H$13:$H$23</definedName>
    <definedName name="OSRRefH13x_0" localSheetId="53">'308'!$H$13:$H$33</definedName>
    <definedName name="OSRRefH13x_0" localSheetId="64">'309'!$H$13</definedName>
    <definedName name="OSRRefH13x_0" localSheetId="63">'310'!$H$13:$H$17</definedName>
    <definedName name="OSRRefH13x_0" localSheetId="71">'310 &amp; 491'!$H$13:$H$21</definedName>
    <definedName name="OSRRefH13x_0" localSheetId="54">'311'!$H$13:$H$32</definedName>
    <definedName name="OSRRefH13x_0" localSheetId="65">'313'!$H$13</definedName>
    <definedName name="OSRRefH13x_0" localSheetId="57">'315'!$H$13:$H$50</definedName>
    <definedName name="OSRRefH13x_0" localSheetId="60">'316'!$H$13:$H$22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'326'!$H$13:$H$31</definedName>
    <definedName name="OSRRefH13x_0" localSheetId="69">'327'!$H$13:$H$14</definedName>
    <definedName name="OSRRefH13x_0" localSheetId="51">'330'!$H$13:$H$23</definedName>
    <definedName name="OSRRefH13x_0" localSheetId="56">'331'!$H$13:$H$50</definedName>
    <definedName name="OSRRefH13x_0" localSheetId="59">'332'!$H$13:$H$22</definedName>
    <definedName name="OSRRefH13x_0" localSheetId="73">'405'!$H$13:$H$14</definedName>
    <definedName name="OSRRefH13x_0" localSheetId="76">'412'!$H$13</definedName>
    <definedName name="OSRRefH13x_0" localSheetId="77">'413'!$H$13:$H$14</definedName>
    <definedName name="OSRRefH13x_0" localSheetId="78">'414'!$H$13:$H$15</definedName>
    <definedName name="OSRRefH13x_0" localSheetId="79">'415'!$H$13:$H$16</definedName>
    <definedName name="OSRRefH13x_0" localSheetId="80">'418'!$H$13:$H$14</definedName>
    <definedName name="OSRRefH13x_0" localSheetId="81">'420'!$H$13</definedName>
    <definedName name="OSRRefH13x_0" localSheetId="88">'433'!$H$13:$H$16</definedName>
    <definedName name="OSRRefH13x_0" localSheetId="90">'444'!$H$13:$H$16</definedName>
    <definedName name="OSRRefH13x_0" localSheetId="91">'450'!$H$13:$H$14</definedName>
    <definedName name="OSRRefH13x_0" localSheetId="72">'491'!$H$13:$H$18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3'!$H$13:$H$76</definedName>
    <definedName name="OSRRefH13x_0" localSheetId="70">'Div 4'!$H$13:$H$20</definedName>
    <definedName name="OSRRefH13x_0" localSheetId="92">'Div 5'!$H$13</definedName>
    <definedName name="OSRRefH13x_0" localSheetId="61">'Div 6'!$H$13:$H$30</definedName>
    <definedName name="OSRRefH13x_0" localSheetId="2">Summary!$H$13:$H$95</definedName>
    <definedName name="OSRRefH16x_0" localSheetId="48">'300'!$H$77:$H$110</definedName>
    <definedName name="OSRRefH16x_0" localSheetId="49">'300 &amp; 317'!$H$91:$H$132</definedName>
    <definedName name="OSRRefH16x_0" localSheetId="52">'307'!$H$26:$H$33</definedName>
    <definedName name="OSRRefH16x_0" localSheetId="53">'308'!$H$36:$H$50</definedName>
    <definedName name="OSRRefH16x_0" localSheetId="64">'309'!$H$16</definedName>
    <definedName name="OSRRefH16x_0" localSheetId="63">'310'!$H$20:$H$22</definedName>
    <definedName name="OSRRefH16x_0" localSheetId="71">'310 &amp; 491'!$H$24:$H$26</definedName>
    <definedName name="OSRRefH16x_0" localSheetId="54">'311'!$H$35:$H$49</definedName>
    <definedName name="OSRRefH16x_0" localSheetId="65">'313'!$H$16:$H$17</definedName>
    <definedName name="OSRRefH16x_0" localSheetId="57">'315'!$H$53:$H$74</definedName>
    <definedName name="OSRRefH16x_0" localSheetId="62">'317'!$H$33:$H$43</definedName>
    <definedName name="OSRRefH16x_0" localSheetId="66">'321'!$H$18:$H$19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'326'!$H$34:$H$38</definedName>
    <definedName name="OSRRefH16x_0" localSheetId="69">'327'!$H$17:$H$18</definedName>
    <definedName name="OSRRefH16x_0" localSheetId="51">'330'!$H$26:$H$33</definedName>
    <definedName name="OSRRefH16x_0" localSheetId="56">'331'!$H$53:$H$74</definedName>
    <definedName name="OSRRefH16x_0" localSheetId="73">'405'!$H$17</definedName>
    <definedName name="OSRRefH16x_0" localSheetId="76">'412'!$H$16</definedName>
    <definedName name="OSRRefH16x_0" localSheetId="77">'413'!$H$17</definedName>
    <definedName name="OSRRefH16x_0" localSheetId="78">'414'!$H$18</definedName>
    <definedName name="OSRRefH16x_0" localSheetId="79">'415'!$H$19:$H$21</definedName>
    <definedName name="OSRRefH16x_0" localSheetId="80">'418'!$H$17</definedName>
    <definedName name="OSRRefH16x_0" localSheetId="88">'433'!$H$19:$H$21</definedName>
    <definedName name="OSRRefH16x_0" localSheetId="90">'444'!$H$19:$H$21</definedName>
    <definedName name="OSRRefH16x_0" localSheetId="91">'450'!$H$17</definedName>
    <definedName name="OSRRefH16x_0" localSheetId="72">'491'!$H$21:$H$23</definedName>
    <definedName name="OSRRefH16x_0" localSheetId="86">'492'!$H$19:$H$21</definedName>
    <definedName name="OSRRefH16x_0" localSheetId="47">'Div 3'!$H$79:$H$114</definedName>
    <definedName name="OSRRefH16x_0" localSheetId="70">'Div 4'!$H$23:$H$25</definedName>
    <definedName name="OSRRefH16x_0" localSheetId="61">'Div 6'!$H$33:$H$43</definedName>
    <definedName name="OSRRefH16x_0" localSheetId="2">Summary!$H$98:$H$141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'300'!$H$116:$H$125</definedName>
    <definedName name="OSRRefH22_0x_0" localSheetId="49">'300 &amp; 317'!$H$138:$H$147</definedName>
    <definedName name="OSRRefH22_0x_0" localSheetId="50">'301'!$H$20:$H$28</definedName>
    <definedName name="OSRRefH22_0x_0" localSheetId="52">'307'!$H$39:$H$46</definedName>
    <definedName name="OSRRefH22_0x_0" localSheetId="53">'308'!$H$56:$H$65</definedName>
    <definedName name="OSRRefH22_0x_0" localSheetId="64">'309'!$H$22:$H$29</definedName>
    <definedName name="OSRRefH22_0x_0" localSheetId="63">'310'!$H$28:$H$36</definedName>
    <definedName name="OSRRefH22_0x_0" localSheetId="71">'310 &amp; 491'!$H$32:$H$40</definedName>
    <definedName name="OSRRefH22_0x_0" localSheetId="54">'311'!$H$55:$H$64</definedName>
    <definedName name="OSRRefH22_0x_0" localSheetId="65">'313'!$H$23:$H$31</definedName>
    <definedName name="OSRRefH22_0x_0" localSheetId="57">'315'!$H$80:$H$88</definedName>
    <definedName name="OSRRefH22_0x_0" localSheetId="60">'316'!$H$30:$H$38</definedName>
    <definedName name="OSRRefH22_0x_0" localSheetId="62">'317'!$H$49:$H$58</definedName>
    <definedName name="OSRRefH22_0x_0" localSheetId="66">'321'!$H$25:$H$33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'326'!$H$44:$H$52</definedName>
    <definedName name="OSRRefH22_0x_0" localSheetId="69">'327'!$H$24</definedName>
    <definedName name="OSRRefH22_0x_0" localSheetId="51">'330'!$H$39:$H$46</definedName>
    <definedName name="OSRRefH22_0x_0" localSheetId="56">'331'!$H$80:$H$88</definedName>
    <definedName name="OSRRefH22_0x_0" localSheetId="59">'332'!$H$30:$H$38</definedName>
    <definedName name="OSRRefH22_0x_0" localSheetId="73">'405'!$H$23:$H$30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7">'413'!$H$23:$H$31</definedName>
    <definedName name="OSRRefH22_0x_0" localSheetId="78">'414'!$H$24:$H$32</definedName>
    <definedName name="OSRRefH22_0x_0" localSheetId="79">'415'!$H$27:$H$35</definedName>
    <definedName name="OSRRefH22_0x_0" localSheetId="80">'418'!$H$23:$H$30</definedName>
    <definedName name="OSRRefH22_0x_0" localSheetId="81">'420'!$H$21</definedName>
    <definedName name="OSRRefH22_0x_0" localSheetId="82">'423'!$H$20:$H$27</definedName>
    <definedName name="OSRRefH22_0x_0" localSheetId="83">'424'!$H$20</definedName>
    <definedName name="OSRRefH22_0x_0" localSheetId="84">'425'!$H$20:$H$24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'450'!$H$23:$H$32</definedName>
    <definedName name="OSRRefH22_0x_0" localSheetId="72">'491'!$H$29:$H$37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3'!$H$120:$H$129</definedName>
    <definedName name="OSRRefH22_0x_0" localSheetId="70">'Div 4'!$H$31:$H$40</definedName>
    <definedName name="OSRRefH22_0x_0" localSheetId="92">'Div 5'!$H$21:$H$30</definedName>
    <definedName name="OSRRefH22_0x_0" localSheetId="61">'Div 6'!$H$49:$H$58</definedName>
    <definedName name="OSRRefH22_0x_0" localSheetId="2">Summary!$H$147:$H$156</definedName>
    <definedName name="OSRRefH22_10x_0" localSheetId="41">'201'!$H$58:$H$60</definedName>
    <definedName name="OSRRefH22_10x_0" localSheetId="42">'202'!$H$62</definedName>
    <definedName name="OSRRefH22_10x_0" localSheetId="43">'203'!$H$62</definedName>
    <definedName name="OSRRefH22_10x_0" localSheetId="44">'204'!$H$62:$H$63</definedName>
    <definedName name="OSRRefH22_10x_0" localSheetId="48">'300'!$H$158:$H$159</definedName>
    <definedName name="OSRRefH22_10x_0" localSheetId="49">'300 &amp; 317'!$H$180:$H$181</definedName>
    <definedName name="OSRRefH22_10x_0" localSheetId="50">'301'!$H$59</definedName>
    <definedName name="OSRRefH22_10x_0" localSheetId="52">'307'!$H$77:$H$78</definedName>
    <definedName name="OSRRefH22_10x_0" localSheetId="53">'308'!$H$96</definedName>
    <definedName name="OSRRefH22_10x_0" localSheetId="63">'310'!$H$66</definedName>
    <definedName name="OSRRefH22_10x_0" localSheetId="71">'310 &amp; 491'!$H$72</definedName>
    <definedName name="OSRRefH22_10x_0" localSheetId="54">'311'!$H$95</definedName>
    <definedName name="OSRRefH22_10x_0" localSheetId="65">'313'!$H$64</definedName>
    <definedName name="OSRRefH22_10x_0" localSheetId="57">'315'!$H$118</definedName>
    <definedName name="OSRRefH22_10x_0" localSheetId="60">'316'!$H$73</definedName>
    <definedName name="OSRRefH22_10x_0" localSheetId="62">'317'!$H$88:$H$90</definedName>
    <definedName name="OSRRefH22_10x_0" localSheetId="66">'321'!$H$65:$H$67</definedName>
    <definedName name="OSRRefH22_10x_0" localSheetId="67">'322'!$H$64</definedName>
    <definedName name="OSRRefH22_10x_0" localSheetId="68">'325'!$H$62:$H$65</definedName>
    <definedName name="OSRRefH22_10x_0" localSheetId="58">'326'!$H$82</definedName>
    <definedName name="OSRRefH22_10x_0" localSheetId="51">'330'!$H$77:$H$78</definedName>
    <definedName name="OSRRefH22_10x_0" localSheetId="56">'331'!$H$119</definedName>
    <definedName name="OSRRefH22_10x_0" localSheetId="59">'332'!$H$73</definedName>
    <definedName name="OSRRefH22_10x_0" localSheetId="73">'405'!$H$61:$H$64</definedName>
    <definedName name="OSRRefH22_10x_0" localSheetId="75">'411'!$H$59:$H$62</definedName>
    <definedName name="OSRRefH22_10x_0" localSheetId="76">'412'!$H$60:$H$63</definedName>
    <definedName name="OSRRefH22_10x_0" localSheetId="77">'413'!$H$63:$H$70</definedName>
    <definedName name="OSRRefH22_10x_0" localSheetId="78">'414'!$H$62</definedName>
    <definedName name="OSRRefH22_10x_0" localSheetId="79">'415'!$H$65:$H$66</definedName>
    <definedName name="OSRRefH22_10x_0" localSheetId="80">'418'!$H$63</definedName>
    <definedName name="OSRRefH22_10x_0" localSheetId="88">'433'!$H$65</definedName>
    <definedName name="OSRRefH22_10x_0" localSheetId="90">'444'!$H$65</definedName>
    <definedName name="OSRRefH22_10x_0" localSheetId="91">'450'!$H$61</definedName>
    <definedName name="OSRRefH22_10x_0" localSheetId="72">'491'!$H$68</definedName>
    <definedName name="OSRRefH22_10x_0" localSheetId="86">'492'!$H$65</definedName>
    <definedName name="OSRRefH22_10x_0" localSheetId="93">'501'!$H$63:$H$64</definedName>
    <definedName name="OSRRefH22_10x_0" localSheetId="39">'Div 2'!$H$62</definedName>
    <definedName name="OSRRefH22_10x_0" localSheetId="47">'Div 3'!$H$162:$H$163</definedName>
    <definedName name="OSRRefH22_10x_0" localSheetId="70">'Div 4'!$H$71</definedName>
    <definedName name="OSRRefH22_10x_0" localSheetId="92">'Div 5'!$H$63:$H$64</definedName>
    <definedName name="OSRRefH22_10x_0" localSheetId="61">'Div 6'!$H$88:$H$90</definedName>
    <definedName name="OSRRefH22_10x_0" localSheetId="2">Summary!$H$190:$H$191</definedName>
    <definedName name="OSRRefH22_11x_0" localSheetId="41">'201'!$H$62</definedName>
    <definedName name="OSRRefH22_11x_0" localSheetId="42">'202'!$H$64</definedName>
    <definedName name="OSRRefH22_11x_0" localSheetId="43">'203'!$H$64:$H$66</definedName>
    <definedName name="OSRRefH22_11x_0" localSheetId="44">'204'!$H$65</definedName>
    <definedName name="OSRRefH22_11x_0" localSheetId="48">'300'!$H$161:$H$163</definedName>
    <definedName name="OSRRefH22_11x_0" localSheetId="49">'300 &amp; 317'!$H$183:$H$185</definedName>
    <definedName name="OSRRefH22_11x_0" localSheetId="50">'301'!$H$61</definedName>
    <definedName name="OSRRefH22_11x_0" localSheetId="52">'307'!$H$80:$H$83</definedName>
    <definedName name="OSRRefH22_11x_0" localSheetId="53">'308'!$H$98:$H$100</definedName>
    <definedName name="OSRRefH22_11x_0" localSheetId="63">'310'!$H$68</definedName>
    <definedName name="OSRRefH22_11x_0" localSheetId="71">'310 &amp; 491'!$H$74</definedName>
    <definedName name="OSRRefH22_11x_0" localSheetId="54">'311'!$H$97:$H$99</definedName>
    <definedName name="OSRRefH22_11x_0" localSheetId="65">'313'!$H$66</definedName>
    <definedName name="OSRRefH22_11x_0" localSheetId="57">'315'!$H$120</definedName>
    <definedName name="OSRRefH22_11x_0" localSheetId="60">'316'!$H$75</definedName>
    <definedName name="OSRRefH22_11x_0" localSheetId="62">'317'!$H$92</definedName>
    <definedName name="OSRRefH22_11x_0" localSheetId="66">'321'!$H$69:$H$70</definedName>
    <definedName name="OSRRefH22_11x_0" localSheetId="67">'322'!$H$66</definedName>
    <definedName name="OSRRefH22_11x_0" localSheetId="68">'325'!$H$67:$H$69</definedName>
    <definedName name="OSRRefH22_11x_0" localSheetId="58">'326'!$H$84</definedName>
    <definedName name="OSRRefH22_11x_0" localSheetId="51">'330'!$H$80:$H$83</definedName>
    <definedName name="OSRRefH22_11x_0" localSheetId="56">'331'!$H$121</definedName>
    <definedName name="OSRRefH22_11x_0" localSheetId="59">'332'!$H$75</definedName>
    <definedName name="OSRRefH22_11x_0" localSheetId="73">'405'!$H$66</definedName>
    <definedName name="OSRRefH22_11x_0" localSheetId="75">'411'!$H$64:$H$70</definedName>
    <definedName name="OSRRefH22_11x_0" localSheetId="76">'412'!$H$65:$H$69</definedName>
    <definedName name="OSRRefH22_11x_0" localSheetId="77">'413'!$H$72:$H$73</definedName>
    <definedName name="OSRRefH22_11x_0" localSheetId="78">'414'!$H$64</definedName>
    <definedName name="OSRRefH22_11x_0" localSheetId="79">'415'!$H$68:$H$72</definedName>
    <definedName name="OSRRefH22_11x_0" localSheetId="80">'418'!$H$65:$H$74</definedName>
    <definedName name="OSRRefH22_11x_0" localSheetId="88">'433'!$H$67:$H$68</definedName>
    <definedName name="OSRRefH22_11x_0" localSheetId="90">'444'!$H$67:$H$70</definedName>
    <definedName name="OSRRefH22_11x_0" localSheetId="91">'450'!$H$63</definedName>
    <definedName name="OSRRefH22_11x_0" localSheetId="72">'491'!$H$70</definedName>
    <definedName name="OSRRefH22_11x_0" localSheetId="86">'492'!$H$67</definedName>
    <definedName name="OSRRefH22_11x_0" localSheetId="93">'501'!$H$66</definedName>
    <definedName name="OSRRefH22_11x_0" localSheetId="39">'Div 2'!$H$64:$H$65</definedName>
    <definedName name="OSRRefH22_11x_0" localSheetId="47">'Div 3'!$H$165:$H$167</definedName>
    <definedName name="OSRRefH22_11x_0" localSheetId="70">'Div 4'!$H$73</definedName>
    <definedName name="OSRRefH22_11x_0" localSheetId="92">'Div 5'!$H$66</definedName>
    <definedName name="OSRRefH22_11x_0" localSheetId="61">'Div 6'!$H$92</definedName>
    <definedName name="OSRRefH22_11x_0" localSheetId="2">Summary!$H$193:$H$195</definedName>
    <definedName name="OSRRefH22_12x_0" localSheetId="41">'201'!$H$64</definedName>
    <definedName name="OSRRefH22_12x_0" localSheetId="42">'202'!$H$66</definedName>
    <definedName name="OSRRefH22_12x_0" localSheetId="43">'203'!$H$68</definedName>
    <definedName name="OSRRefH22_12x_0" localSheetId="48">'300'!$H$165</definedName>
    <definedName name="OSRRefH22_12x_0" localSheetId="49">'300 &amp; 317'!$H$187</definedName>
    <definedName name="OSRRefH22_12x_0" localSheetId="50">'301'!$H$63</definedName>
    <definedName name="OSRRefH22_12x_0" localSheetId="52">'307'!$H$85:$H$86</definedName>
    <definedName name="OSRRefH22_12x_0" localSheetId="53">'308'!$H$102:$H$103</definedName>
    <definedName name="OSRRefH22_12x_0" localSheetId="63">'310'!$H$70:$H$73</definedName>
    <definedName name="OSRRefH22_12x_0" localSheetId="71">'310 &amp; 491'!$H$76</definedName>
    <definedName name="OSRRefH22_12x_0" localSheetId="54">'311'!$H$101:$H$102</definedName>
    <definedName name="OSRRefH22_12x_0" localSheetId="57">'315'!$H$122:$H$124</definedName>
    <definedName name="OSRRefH22_12x_0" localSheetId="62">'317'!$H$94</definedName>
    <definedName name="OSRRefH22_12x_0" localSheetId="66">'321'!$H$72</definedName>
    <definedName name="OSRRefH22_12x_0" localSheetId="68">'325'!$H$71</definedName>
    <definedName name="OSRRefH22_12x_0" localSheetId="58">'326'!$H$86</definedName>
    <definedName name="OSRRefH22_12x_0" localSheetId="51">'330'!$H$85:$H$86</definedName>
    <definedName name="OSRRefH22_12x_0" localSheetId="56">'331'!$H$123</definedName>
    <definedName name="OSRRefH22_12x_0" localSheetId="73">'405'!$H$68:$H$76</definedName>
    <definedName name="OSRRefH22_12x_0" localSheetId="75">'411'!$H$72</definedName>
    <definedName name="OSRRefH22_12x_0" localSheetId="76">'412'!$H$71:$H$72</definedName>
    <definedName name="OSRRefH22_12x_0" localSheetId="77">'413'!$H$75</definedName>
    <definedName name="OSRRefH22_12x_0" localSheetId="78">'414'!$H$66:$H$68</definedName>
    <definedName name="OSRRefH22_12x_0" localSheetId="79">'415'!$H$74</definedName>
    <definedName name="OSRRefH22_12x_0" localSheetId="80">'418'!$H$76:$H$77</definedName>
    <definedName name="OSRRefH22_12x_0" localSheetId="88">'433'!$H$70:$H$73</definedName>
    <definedName name="OSRRefH22_12x_0" localSheetId="90">'444'!$H$72:$H$74</definedName>
    <definedName name="OSRRefH22_12x_0" localSheetId="91">'450'!$H$65</definedName>
    <definedName name="OSRRefH22_12x_0" localSheetId="72">'491'!$H$72</definedName>
    <definedName name="OSRRefH22_12x_0" localSheetId="86">'492'!$H$69:$H$72</definedName>
    <definedName name="OSRRefH22_12x_0" localSheetId="39">'Div 2'!$H$67:$H$70</definedName>
    <definedName name="OSRRefH22_12x_0" localSheetId="47">'Div 3'!$H$169</definedName>
    <definedName name="OSRRefH22_12x_0" localSheetId="70">'Div 4'!$H$75</definedName>
    <definedName name="OSRRefH22_12x_0" localSheetId="61">'Div 6'!$H$94</definedName>
    <definedName name="OSRRefH22_12x_0" localSheetId="2">Summary!$H$197</definedName>
    <definedName name="OSRRefH22_13x_0" localSheetId="41">'201'!$H$66:$H$68</definedName>
    <definedName name="OSRRefH22_13x_0" localSheetId="43">'203'!$H$70</definedName>
    <definedName name="OSRRefH22_13x_0" localSheetId="48">'300'!$H$167</definedName>
    <definedName name="OSRRefH22_13x_0" localSheetId="49">'300 &amp; 317'!$H$189</definedName>
    <definedName name="OSRRefH22_13x_0" localSheetId="50">'301'!$H$65</definedName>
    <definedName name="OSRRefH22_13x_0" localSheetId="52">'307'!$H$88</definedName>
    <definedName name="OSRRefH22_13x_0" localSheetId="53">'308'!$H$105</definedName>
    <definedName name="OSRRefH22_13x_0" localSheetId="63">'310'!$H$75:$H$76</definedName>
    <definedName name="OSRRefH22_13x_0" localSheetId="71">'310 &amp; 491'!$H$78:$H$81</definedName>
    <definedName name="OSRRefH22_13x_0" localSheetId="54">'311'!$H$104</definedName>
    <definedName name="OSRRefH22_13x_0" localSheetId="57">'315'!$H$126:$H$127</definedName>
    <definedName name="OSRRefH22_13x_0" localSheetId="66">'321'!$H$74</definedName>
    <definedName name="OSRRefH22_13x_0" localSheetId="68">'325'!$H$73:$H$77</definedName>
    <definedName name="OSRRefH22_13x_0" localSheetId="58">'326'!$H$88:$H$89</definedName>
    <definedName name="OSRRefH22_13x_0" localSheetId="51">'330'!$H$88</definedName>
    <definedName name="OSRRefH22_13x_0" localSheetId="56">'331'!$H$125</definedName>
    <definedName name="OSRRefH22_13x_0" localSheetId="73">'405'!$H$78</definedName>
    <definedName name="OSRRefH22_13x_0" localSheetId="75">'411'!$H$74</definedName>
    <definedName name="OSRRefH22_13x_0" localSheetId="76">'412'!$H$74</definedName>
    <definedName name="OSRRefH22_13x_0" localSheetId="78">'414'!$H$70</definedName>
    <definedName name="OSRRefH22_13x_0" localSheetId="79">'415'!$H$76:$H$82</definedName>
    <definedName name="OSRRefH22_13x_0" localSheetId="80">'418'!$H$79</definedName>
    <definedName name="OSRRefH22_13x_0" localSheetId="88">'433'!$H$75:$H$82</definedName>
    <definedName name="OSRRefH22_13x_0" localSheetId="90">'444'!$H$76</definedName>
    <definedName name="OSRRefH22_13x_0" localSheetId="91">'450'!$H$67:$H$69</definedName>
    <definedName name="OSRRefH22_13x_0" localSheetId="72">'491'!$H$74:$H$77</definedName>
    <definedName name="OSRRefH22_13x_0" localSheetId="86">'492'!$H$74:$H$77</definedName>
    <definedName name="OSRRefH22_13x_0" localSheetId="39">'Div 2'!$H$72:$H$75</definedName>
    <definedName name="OSRRefH22_13x_0" localSheetId="47">'Div 3'!$H$171</definedName>
    <definedName name="OSRRefH22_13x_0" localSheetId="70">'Div 4'!$H$77</definedName>
    <definedName name="OSRRefH22_13x_0" localSheetId="2">Summary!$H$199</definedName>
    <definedName name="OSRRefH22_14x_0" localSheetId="41">'201'!$H$70</definedName>
    <definedName name="OSRRefH22_14x_0" localSheetId="43">'203'!$H$72</definedName>
    <definedName name="OSRRefH22_14x_0" localSheetId="48">'300'!$H$169</definedName>
    <definedName name="OSRRefH22_14x_0" localSheetId="49">'300 &amp; 317'!$H$191</definedName>
    <definedName name="OSRRefH22_14x_0" localSheetId="50">'301'!$H$67:$H$70</definedName>
    <definedName name="OSRRefH22_14x_0" localSheetId="63">'310'!$H$78:$H$81</definedName>
    <definedName name="OSRRefH22_14x_0" localSheetId="71">'310 &amp; 491'!$H$83:$H$84</definedName>
    <definedName name="OSRRefH22_14x_0" localSheetId="57">'315'!$H$129:$H$135</definedName>
    <definedName name="OSRRefH22_14x_0" localSheetId="68">'325'!$H$79:$H$80</definedName>
    <definedName name="OSRRefH22_14x_0" localSheetId="58">'326'!$H$91:$H$93</definedName>
    <definedName name="OSRRefH22_14x_0" localSheetId="56">'331'!$H$127:$H$128</definedName>
    <definedName name="OSRRefH22_14x_0" localSheetId="73">'405'!$H$80</definedName>
    <definedName name="OSRRefH22_14x_0" localSheetId="75">'411'!$H$76</definedName>
    <definedName name="OSRRefH22_14x_0" localSheetId="78">'414'!$H$72</definedName>
    <definedName name="OSRRefH22_14x_0" localSheetId="79">'415'!$H$84:$H$85</definedName>
    <definedName name="OSRRefH22_14x_0" localSheetId="88">'433'!$H$84</definedName>
    <definedName name="OSRRefH22_14x_0" localSheetId="90">'444'!$H$78:$H$86</definedName>
    <definedName name="OSRRefH22_14x_0" localSheetId="91">'450'!$H$71:$H$77</definedName>
    <definedName name="OSRRefH22_14x_0" localSheetId="72">'491'!$H$79:$H$80</definedName>
    <definedName name="OSRRefH22_14x_0" localSheetId="86">'492'!$H$79</definedName>
    <definedName name="OSRRefH22_14x_0" localSheetId="39">'Div 2'!$H$77:$H$78</definedName>
    <definedName name="OSRRefH22_14x_0" localSheetId="47">'Div 3'!$H$173</definedName>
    <definedName name="OSRRefH22_14x_0" localSheetId="70">'Div 4'!$H$79</definedName>
    <definedName name="OSRRefH22_14x_0" localSheetId="2">Summary!$H$201</definedName>
    <definedName name="OSRRefH22_15x_0" localSheetId="41">'201'!$H$72</definedName>
    <definedName name="OSRRefH22_15x_0" localSheetId="48">'300'!$H$171</definedName>
    <definedName name="OSRRefH22_15x_0" localSheetId="49">'300 &amp; 317'!$H$193</definedName>
    <definedName name="OSRRefH22_15x_0" localSheetId="50">'301'!$H$72:$H$74</definedName>
    <definedName name="OSRRefH22_15x_0" localSheetId="63">'310'!$H$83</definedName>
    <definedName name="OSRRefH22_15x_0" localSheetId="71">'310 &amp; 491'!$H$86:$H$90</definedName>
    <definedName name="OSRRefH22_15x_0" localSheetId="57">'315'!$H$137</definedName>
    <definedName name="OSRRefH22_15x_0" localSheetId="68">'325'!$H$82</definedName>
    <definedName name="OSRRefH22_15x_0" localSheetId="58">'326'!$H$95:$H$96</definedName>
    <definedName name="OSRRefH22_15x_0" localSheetId="56">'331'!$H$130:$H$132</definedName>
    <definedName name="OSRRefH22_15x_0" localSheetId="73">'405'!$H$82</definedName>
    <definedName name="OSRRefH22_15x_0" localSheetId="78">'414'!$H$74</definedName>
    <definedName name="OSRRefH22_15x_0" localSheetId="79">'415'!$H$87</definedName>
    <definedName name="OSRRefH22_15x_0" localSheetId="90">'444'!$H$88:$H$89</definedName>
    <definedName name="OSRRefH22_15x_0" localSheetId="91">'450'!$H$79:$H$80</definedName>
    <definedName name="OSRRefH22_15x_0" localSheetId="72">'491'!$H$82:$H$86</definedName>
    <definedName name="OSRRefH22_15x_0" localSheetId="86">'492'!$H$81:$H$90</definedName>
    <definedName name="OSRRefH22_15x_0" localSheetId="39">'Div 2'!$H$80:$H$81</definedName>
    <definedName name="OSRRefH22_15x_0" localSheetId="47">'Div 3'!$H$175</definedName>
    <definedName name="OSRRefH22_15x_0" localSheetId="70">'Div 4'!$H$81:$H$84</definedName>
    <definedName name="OSRRefH22_15x_0" localSheetId="2">Summary!$H$203</definedName>
    <definedName name="OSRRefH22_16x_0" localSheetId="41">'201'!$H$74</definedName>
    <definedName name="OSRRefH22_16x_0" localSheetId="48">'300'!$H$173:$H$176</definedName>
    <definedName name="OSRRefH22_16x_0" localSheetId="49">'300 &amp; 317'!$H$195:$H$198</definedName>
    <definedName name="OSRRefH22_16x_0" localSheetId="50">'301'!$H$76</definedName>
    <definedName name="OSRRefH22_16x_0" localSheetId="63">'310'!$H$85:$H$91</definedName>
    <definedName name="OSRRefH22_16x_0" localSheetId="71">'310 &amp; 491'!$H$92</definedName>
    <definedName name="OSRRefH22_16x_0" localSheetId="57">'315'!$H$139:$H$140</definedName>
    <definedName name="OSRRefH22_16x_0" localSheetId="68">'325'!$H$84</definedName>
    <definedName name="OSRRefH22_16x_0" localSheetId="58">'326'!$H$98:$H$103</definedName>
    <definedName name="OSRRefH22_16x_0" localSheetId="56">'331'!$H$134:$H$136</definedName>
    <definedName name="OSRRefH22_16x_0" localSheetId="79">'415'!$H$89:$H$90</definedName>
    <definedName name="OSRRefH22_16x_0" localSheetId="90">'444'!$H$91</definedName>
    <definedName name="OSRRefH22_16x_0" localSheetId="91">'450'!$H$82</definedName>
    <definedName name="OSRRefH22_16x_0" localSheetId="72">'491'!$H$88</definedName>
    <definedName name="OSRRefH22_16x_0" localSheetId="86">'492'!$H$92:$H$93</definedName>
    <definedName name="OSRRefH22_16x_0" localSheetId="39">'Div 2'!$H$83:$H$87</definedName>
    <definedName name="OSRRefH22_16x_0" localSheetId="47">'Div 3'!$H$177</definedName>
    <definedName name="OSRRefH22_16x_0" localSheetId="70">'Div 4'!$H$86:$H$87</definedName>
    <definedName name="OSRRefH22_16x_0" localSheetId="2">Summary!$H$205</definedName>
    <definedName name="OSRRefH22_17x_0" localSheetId="48">'300'!$H$178:$H$181</definedName>
    <definedName name="OSRRefH22_17x_0" localSheetId="49">'300 &amp; 317'!$H$200:$H$203</definedName>
    <definedName name="OSRRefH22_17x_0" localSheetId="50">'301'!$H$78:$H$84</definedName>
    <definedName name="OSRRefH22_17x_0" localSheetId="63">'310'!$H$93:$H$94</definedName>
    <definedName name="OSRRefH22_17x_0" localSheetId="71">'310 &amp; 491'!$H$94:$H$104</definedName>
    <definedName name="OSRRefH22_17x_0" localSheetId="58">'326'!$H$105:$H$106</definedName>
    <definedName name="OSRRefH22_17x_0" localSheetId="56">'331'!$H$138:$H$139</definedName>
    <definedName name="OSRRefH22_17x_0" localSheetId="79">'415'!$H$92</definedName>
    <definedName name="OSRRefH22_17x_0" localSheetId="72">'491'!$H$90:$H$100</definedName>
    <definedName name="OSRRefH22_17x_0" localSheetId="86">'492'!$H$95</definedName>
    <definedName name="OSRRefH22_17x_0" localSheetId="39">'Div 2'!$H$89:$H$90</definedName>
    <definedName name="OSRRefH22_17x_0" localSheetId="47">'Div 3'!$H$179:$H$182</definedName>
    <definedName name="OSRRefH22_17x_0" localSheetId="70">'Div 4'!$H$89:$H$93</definedName>
    <definedName name="OSRRefH22_17x_0" localSheetId="2">Summary!$H$207</definedName>
    <definedName name="OSRRefH22_18x_0" localSheetId="48">'300'!$H$183:$H$186</definedName>
    <definedName name="OSRRefH22_18x_0" localSheetId="49">'300 &amp; 317'!$H$205:$H$208</definedName>
    <definedName name="OSRRefH22_18x_0" localSheetId="50">'301'!$H$86</definedName>
    <definedName name="OSRRefH22_18x_0" localSheetId="63">'310'!$H$96</definedName>
    <definedName name="OSRRefH22_18x_0" localSheetId="71">'310 &amp; 491'!$H$106:$H$107</definedName>
    <definedName name="OSRRefH22_18x_0" localSheetId="58">'326'!$H$108</definedName>
    <definedName name="OSRRefH22_18x_0" localSheetId="56">'331'!$H$141:$H$148</definedName>
    <definedName name="OSRRefH22_18x_0" localSheetId="72">'491'!$H$102:$H$103</definedName>
    <definedName name="OSRRefH22_18x_0" localSheetId="86">'492'!$H$97</definedName>
    <definedName name="OSRRefH22_18x_0" localSheetId="39">'Div 2'!$H$92</definedName>
    <definedName name="OSRRefH22_18x_0" localSheetId="47">'Div 3'!$H$184:$H$187</definedName>
    <definedName name="OSRRefH22_18x_0" localSheetId="70">'Div 4'!$H$95:$H$96</definedName>
    <definedName name="OSRRefH22_18x_0" localSheetId="2">Summary!$H$209:$H$212</definedName>
    <definedName name="OSRRefH22_19x_0" localSheetId="48">'300'!$H$188:$H$189</definedName>
    <definedName name="OSRRefH22_19x_0" localSheetId="49">'300 &amp; 317'!$H$210:$H$211</definedName>
    <definedName name="OSRRefH22_19x_0" localSheetId="50">'301'!$H$88</definedName>
    <definedName name="OSRRefH22_19x_0" localSheetId="63">'310'!$H$98</definedName>
    <definedName name="OSRRefH22_19x_0" localSheetId="71">'310 &amp; 491'!$H$109</definedName>
    <definedName name="OSRRefH22_19x_0" localSheetId="58">'326'!$H$110:$H$111</definedName>
    <definedName name="OSRRefH22_19x_0" localSheetId="56">'331'!$H$150:$H$151</definedName>
    <definedName name="OSRRefH22_19x_0" localSheetId="72">'491'!$H$105</definedName>
    <definedName name="OSRRefH22_19x_0" localSheetId="39">'Div 2'!$H$94:$H$95</definedName>
    <definedName name="OSRRefH22_19x_0" localSheetId="47">'Div 3'!$H$189:$H$193</definedName>
    <definedName name="OSRRefH22_19x_0" localSheetId="70">'Div 4'!$H$98:$H$108</definedName>
    <definedName name="OSRRefH22_19x_0" localSheetId="2">Summary!$H$214:$H$217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'300'!$H$127:$H$136</definedName>
    <definedName name="OSRRefH22_1x_0" localSheetId="49">'300 &amp; 317'!$H$149:$H$158</definedName>
    <definedName name="OSRRefH22_1x_0" localSheetId="50">'301'!$H$30:$H$39</definedName>
    <definedName name="OSRRefH22_1x_0" localSheetId="52">'307'!$H$48:$H$57</definedName>
    <definedName name="OSRRefH22_1x_0" localSheetId="53">'308'!$H$67:$H$76</definedName>
    <definedName name="OSRRefH22_1x_0" localSheetId="64">'309'!$H$31:$H$40</definedName>
    <definedName name="OSRRefH22_1x_0" localSheetId="63">'310'!$H$38:$H$47</definedName>
    <definedName name="OSRRefH22_1x_0" localSheetId="71">'310 &amp; 491'!$H$42:$H$51</definedName>
    <definedName name="OSRRefH22_1x_0" localSheetId="54">'311'!$H$66:$H$75</definedName>
    <definedName name="OSRRefH22_1x_0" localSheetId="65">'313'!$H$33:$H$42</definedName>
    <definedName name="OSRRefH22_1x_0" localSheetId="57">'315'!$H$90:$H$99</definedName>
    <definedName name="OSRRefH22_1x_0" localSheetId="60">'316'!$H$40:$H$49</definedName>
    <definedName name="OSRRefH22_1x_0" localSheetId="62">'317'!$H$60:$H$69</definedName>
    <definedName name="OSRRefH22_1x_0" localSheetId="66">'321'!$H$35:$H$44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'326'!$H$54:$H$63</definedName>
    <definedName name="OSRRefH22_1x_0" localSheetId="51">'330'!$H$48:$H$57</definedName>
    <definedName name="OSRRefH22_1x_0" localSheetId="56">'331'!$H$90:$H$99</definedName>
    <definedName name="OSRRefH22_1x_0" localSheetId="59">'332'!$H$40:$H$49</definedName>
    <definedName name="OSRRefH22_1x_0" localSheetId="73">'405'!$H$32:$H$41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7">'413'!$H$33:$H$42</definedName>
    <definedName name="OSRRefH22_1x_0" localSheetId="78">'414'!$H$34:$H$43</definedName>
    <definedName name="OSRRefH22_1x_0" localSheetId="79">'415'!$H$37:$H$46</definedName>
    <definedName name="OSRRefH22_1x_0" localSheetId="80">'418'!$H$32:$H$41</definedName>
    <definedName name="OSRRefH22_1x_0" localSheetId="82">'423'!$H$29:$H$38</definedName>
    <definedName name="OSRRefH22_1x_0" localSheetId="83">'424'!$H$22</definedName>
    <definedName name="OSRRefH22_1x_0" localSheetId="84">'425'!$H$26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'450'!$H$34:$H$43</definedName>
    <definedName name="OSRRefH22_1x_0" localSheetId="72">'491'!$H$39:$H$48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3'!$H$131:$H$140</definedName>
    <definedName name="OSRRefH22_1x_0" localSheetId="70">'Div 4'!$H$42:$H$51</definedName>
    <definedName name="OSRRefH22_1x_0" localSheetId="92">'Div 5'!$H$32:$H$41</definedName>
    <definedName name="OSRRefH22_1x_0" localSheetId="61">'Div 6'!$H$60:$H$69</definedName>
    <definedName name="OSRRefH22_1x_0" localSheetId="2">Summary!$H$158:$H$167</definedName>
    <definedName name="OSRRefH22_20x_0" localSheetId="48">'300'!$H$191:$H$199</definedName>
    <definedName name="OSRRefH22_20x_0" localSheetId="49">'300 &amp; 317'!$H$213:$H$221</definedName>
    <definedName name="OSRRefH22_20x_0" localSheetId="50">'301'!$H$90:$H$91</definedName>
    <definedName name="OSRRefH22_20x_0" localSheetId="63">'310'!$H$100</definedName>
    <definedName name="OSRRefH22_20x_0" localSheetId="71">'310 &amp; 491'!$H$111:$H$113</definedName>
    <definedName name="OSRRefH22_20x_0" localSheetId="58">'326'!$H$113</definedName>
    <definedName name="OSRRefH22_20x_0" localSheetId="56">'331'!$H$153</definedName>
    <definedName name="OSRRefH22_20x_0" localSheetId="72">'491'!$H$107:$H$109</definedName>
    <definedName name="OSRRefH22_20x_0" localSheetId="47">'Div 3'!$H$195:$H$196</definedName>
    <definedName name="OSRRefH22_20x_0" localSheetId="70">'Div 4'!$H$110:$H$111</definedName>
    <definedName name="OSRRefH22_20x_0" localSheetId="2">Summary!$H$219:$H$223</definedName>
    <definedName name="OSRRefH22_21x_0" localSheetId="48">'300'!$H$201:$H$202</definedName>
    <definedName name="OSRRefH22_21x_0" localSheetId="49">'300 &amp; 317'!$H$223:$H$224</definedName>
    <definedName name="OSRRefH22_21x_0" localSheetId="50">'301'!$H$93</definedName>
    <definedName name="OSRRefH22_21x_0" localSheetId="71">'310 &amp; 491'!$H$115</definedName>
    <definedName name="OSRRefH22_21x_0" localSheetId="56">'331'!$H$155:$H$156</definedName>
    <definedName name="OSRRefH22_21x_0" localSheetId="72">'491'!$H$111</definedName>
    <definedName name="OSRRefH22_21x_0" localSheetId="47">'Div 3'!$H$198:$H$206</definedName>
    <definedName name="OSRRefH22_21x_0" localSheetId="70">'Div 4'!$H$113</definedName>
    <definedName name="OSRRefH22_21x_0" localSheetId="2">Summary!$H$225:$H$226</definedName>
    <definedName name="OSRRefH22_22x_0" localSheetId="48">'300'!$H$204</definedName>
    <definedName name="OSRRefH22_22x_0" localSheetId="49">'300 &amp; 317'!$H$226</definedName>
    <definedName name="OSRRefH22_22x_0" localSheetId="56">'331'!$H$158</definedName>
    <definedName name="OSRRefH22_22x_0" localSheetId="47">'Div 3'!$H$208:$H$209</definedName>
    <definedName name="OSRRefH22_22x_0" localSheetId="70">'Div 4'!$H$115:$H$117</definedName>
    <definedName name="OSRRefH22_22x_0" localSheetId="2">Summary!$H$228:$H$238</definedName>
    <definedName name="OSRRefH22_23x_0" localSheetId="48">'300'!$H$206:$H$208</definedName>
    <definedName name="OSRRefH22_23x_0" localSheetId="49">'300 &amp; 317'!$H$228:$H$230</definedName>
    <definedName name="OSRRefH22_23x_0" localSheetId="47">'Div 3'!$H$211</definedName>
    <definedName name="OSRRefH22_23x_0" localSheetId="70">'Div 4'!$H$119</definedName>
    <definedName name="OSRRefH22_23x_0" localSheetId="2">Summary!$H$240:$H$241</definedName>
    <definedName name="OSRRefH22_24x_0" localSheetId="48">'300'!$H$210</definedName>
    <definedName name="OSRRefH22_24x_0" localSheetId="49">'300 &amp; 317'!$H$232</definedName>
    <definedName name="OSRRefH22_24x_0" localSheetId="47">'Div 3'!$H$213:$H$215</definedName>
    <definedName name="OSRRefH22_24x_0" localSheetId="2">Summary!$H$243</definedName>
    <definedName name="OSRRefH22_25x_0" localSheetId="47">'Div 3'!$H$217</definedName>
    <definedName name="OSRRefH22_25x_0" localSheetId="2">Summary!$H$245:$H$247</definedName>
    <definedName name="OSRRefH22_26x_0" localSheetId="2">Summary!$H$249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'300'!$H$138</definedName>
    <definedName name="OSRRefH22_2x_0" localSheetId="49">'300 &amp; 317'!$H$160</definedName>
    <definedName name="OSRRefH22_2x_0" localSheetId="50">'301'!$H$41</definedName>
    <definedName name="OSRRefH22_2x_0" localSheetId="52">'307'!$H$59</definedName>
    <definedName name="OSRRefH22_2x_0" localSheetId="53">'308'!$H$78</definedName>
    <definedName name="OSRRefH22_2x_0" localSheetId="64">'309'!$H$42</definedName>
    <definedName name="OSRRefH22_2x_0" localSheetId="63">'310'!$H$49</definedName>
    <definedName name="OSRRefH22_2x_0" localSheetId="71">'310 &amp; 491'!$H$53</definedName>
    <definedName name="OSRRefH22_2x_0" localSheetId="54">'311'!$H$77</definedName>
    <definedName name="OSRRefH22_2x_0" localSheetId="65">'313'!$H$44</definedName>
    <definedName name="OSRRefH22_2x_0" localSheetId="57">'315'!$H$101</definedName>
    <definedName name="OSRRefH22_2x_0" localSheetId="60">'316'!$H$51</definedName>
    <definedName name="OSRRefH22_2x_0" localSheetId="62">'317'!$H$71</definedName>
    <definedName name="OSRRefH22_2x_0" localSheetId="66">'321'!$H$46</definedName>
    <definedName name="OSRRefH22_2x_0" localSheetId="67">'322'!$H$43</definedName>
    <definedName name="OSRRefH22_2x_0" localSheetId="68">'325'!$H$45</definedName>
    <definedName name="OSRRefH22_2x_0" localSheetId="58">'326'!$H$65</definedName>
    <definedName name="OSRRefH22_2x_0" localSheetId="51">'330'!$H$59</definedName>
    <definedName name="OSRRefH22_2x_0" localSheetId="56">'331'!$H$101</definedName>
    <definedName name="OSRRefH22_2x_0" localSheetId="59">'332'!$H$51</definedName>
    <definedName name="OSRRefH22_2x_0" localSheetId="73">'405'!$H$43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7">'413'!$H$44</definedName>
    <definedName name="OSRRefH22_2x_0" localSheetId="78">'414'!$H$45</definedName>
    <definedName name="OSRRefH22_2x_0" localSheetId="79">'415'!$H$48</definedName>
    <definedName name="OSRRefH22_2x_0" localSheetId="80">'418'!$H$43</definedName>
    <definedName name="OSRRefH22_2x_0" localSheetId="82">'423'!$H$40</definedName>
    <definedName name="OSRRefH22_2x_0" localSheetId="83">'424'!$H$24</definedName>
    <definedName name="OSRRefH22_2x_0" localSheetId="84">'425'!$H$28</definedName>
    <definedName name="OSRRefH22_2x_0" localSheetId="87">'430'!$H$41</definedName>
    <definedName name="OSRRefH22_2x_0" localSheetId="88">'433'!$H$49</definedName>
    <definedName name="OSRRefH22_2x_0" localSheetId="90">'444'!$H$49</definedName>
    <definedName name="OSRRefH22_2x_0" localSheetId="91">'450'!$H$45</definedName>
    <definedName name="OSRRefH22_2x_0" localSheetId="72">'491'!$H$50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3'!$H$142</definedName>
    <definedName name="OSRRefH22_2x_0" localSheetId="70">'Div 4'!$H$53</definedName>
    <definedName name="OSRRefH22_2x_0" localSheetId="92">'Div 5'!$H$43</definedName>
    <definedName name="OSRRefH22_2x_0" localSheetId="61">'Div 6'!$H$71</definedName>
    <definedName name="OSRRefH22_2x_0" localSheetId="2">Summary!$H$169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'300'!$H$140:$H$141</definedName>
    <definedName name="OSRRefH22_3x_0" localSheetId="49">'300 &amp; 317'!$H$162:$H$163</definedName>
    <definedName name="OSRRefH22_3x_0" localSheetId="50">'301'!$H$43:$H$44</definedName>
    <definedName name="OSRRefH22_3x_0" localSheetId="52">'307'!$H$61</definedName>
    <definedName name="OSRRefH22_3x_0" localSheetId="53">'308'!$H$80</definedName>
    <definedName name="OSRRefH22_3x_0" localSheetId="64">'309'!$H$44</definedName>
    <definedName name="OSRRefH22_3x_0" localSheetId="63">'310'!$H$51</definedName>
    <definedName name="OSRRefH22_3x_0" localSheetId="71">'310 &amp; 491'!$H$55</definedName>
    <definedName name="OSRRefH22_3x_0" localSheetId="54">'311'!$H$79</definedName>
    <definedName name="OSRRefH22_3x_0" localSheetId="65">'313'!$H$46</definedName>
    <definedName name="OSRRefH22_3x_0" localSheetId="57">'315'!$H$103</definedName>
    <definedName name="OSRRefH22_3x_0" localSheetId="60">'316'!$H$53</definedName>
    <definedName name="OSRRefH22_3x_0" localSheetId="62">'317'!$H$73</definedName>
    <definedName name="OSRRefH22_3x_0" localSheetId="66">'321'!$H$48</definedName>
    <definedName name="OSRRefH22_3x_0" localSheetId="67">'322'!$H$45</definedName>
    <definedName name="OSRRefH22_3x_0" localSheetId="68">'325'!$H$47</definedName>
    <definedName name="OSRRefH22_3x_0" localSheetId="58">'326'!$H$67</definedName>
    <definedName name="OSRRefH22_3x_0" localSheetId="51">'330'!$H$61</definedName>
    <definedName name="OSRRefH22_3x_0" localSheetId="56">'331'!$H$103</definedName>
    <definedName name="OSRRefH22_3x_0" localSheetId="59">'332'!$H$53</definedName>
    <definedName name="OSRRefH22_3x_0" localSheetId="73">'405'!$H$45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7">'413'!$H$46</definedName>
    <definedName name="OSRRefH22_3x_0" localSheetId="78">'414'!$H$47</definedName>
    <definedName name="OSRRefH22_3x_0" localSheetId="79">'415'!$H$50</definedName>
    <definedName name="OSRRefH22_3x_0" localSheetId="80">'418'!$H$45</definedName>
    <definedName name="OSRRefH22_3x_0" localSheetId="82">'423'!$H$42:$H$43</definedName>
    <definedName name="OSRRefH22_3x_0" localSheetId="83">'424'!$H$26</definedName>
    <definedName name="OSRRefH22_3x_0" localSheetId="84">'425'!$H$30</definedName>
    <definedName name="OSRRefH22_3x_0" localSheetId="87">'430'!$H$43:$H$45</definedName>
    <definedName name="OSRRefH22_3x_0" localSheetId="88">'433'!$H$51</definedName>
    <definedName name="OSRRefH22_3x_0" localSheetId="90">'444'!$H$51</definedName>
    <definedName name="OSRRefH22_3x_0" localSheetId="91">'450'!$H$47</definedName>
    <definedName name="OSRRefH22_3x_0" localSheetId="72">'491'!$H$52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3'!$H$144:$H$145</definedName>
    <definedName name="OSRRefH22_3x_0" localSheetId="70">'Div 4'!$H$55</definedName>
    <definedName name="OSRRefH22_3x_0" localSheetId="92">'Div 5'!$H$45</definedName>
    <definedName name="OSRRefH22_3x_0" localSheetId="61">'Div 6'!$H$73</definedName>
    <definedName name="OSRRefH22_3x_0" localSheetId="2">Summary!$H$171:$H$172</definedName>
    <definedName name="OSRRefH22_4x_0" localSheetId="40">'200'!$H$28:$H$29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'300'!$H$143</definedName>
    <definedName name="OSRRefH22_4x_0" localSheetId="49">'300 &amp; 317'!$H$165</definedName>
    <definedName name="OSRRefH22_4x_0" localSheetId="50">'301'!$H$46</definedName>
    <definedName name="OSRRefH22_4x_0" localSheetId="52">'307'!$H$63</definedName>
    <definedName name="OSRRefH22_4x_0" localSheetId="53">'308'!$H$82</definedName>
    <definedName name="OSRRefH22_4x_0" localSheetId="64">'309'!$H$46</definedName>
    <definedName name="OSRRefH22_4x_0" localSheetId="63">'310'!$H$53</definedName>
    <definedName name="OSRRefH22_4x_0" localSheetId="71">'310 &amp; 491'!$H$57</definedName>
    <definedName name="OSRRefH22_4x_0" localSheetId="54">'311'!$H$81</definedName>
    <definedName name="OSRRefH22_4x_0" localSheetId="65">'313'!$H$48</definedName>
    <definedName name="OSRRefH22_4x_0" localSheetId="57">'315'!$H$105</definedName>
    <definedName name="OSRRefH22_4x_0" localSheetId="60">'316'!$H$55</definedName>
    <definedName name="OSRRefH22_4x_0" localSheetId="62">'317'!$H$75</definedName>
    <definedName name="OSRRefH22_4x_0" localSheetId="66">'321'!$H$50</definedName>
    <definedName name="OSRRefH22_4x_0" localSheetId="67">'322'!$H$47</definedName>
    <definedName name="OSRRefH22_4x_0" localSheetId="68">'325'!$H$49</definedName>
    <definedName name="OSRRefH22_4x_0" localSheetId="58">'326'!$H$69</definedName>
    <definedName name="OSRRefH22_4x_0" localSheetId="51">'330'!$H$63</definedName>
    <definedName name="OSRRefH22_4x_0" localSheetId="56">'331'!$H$105</definedName>
    <definedName name="OSRRefH22_4x_0" localSheetId="59">'332'!$H$55</definedName>
    <definedName name="OSRRefH22_4x_0" localSheetId="73">'405'!$H$47:$H$48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7">'413'!$H$48</definedName>
    <definedName name="OSRRefH22_4x_0" localSheetId="78">'414'!$H$49</definedName>
    <definedName name="OSRRefH22_4x_0" localSheetId="79">'415'!$H$52</definedName>
    <definedName name="OSRRefH22_4x_0" localSheetId="80">'418'!$H$47:$H$48</definedName>
    <definedName name="OSRRefH22_4x_0" localSheetId="82">'423'!$H$45</definedName>
    <definedName name="OSRRefH22_4x_0" localSheetId="84">'425'!$H$32:$H$33</definedName>
    <definedName name="OSRRefH22_4x_0" localSheetId="87">'430'!$H$47:$H$48</definedName>
    <definedName name="OSRRefH22_4x_0" localSheetId="88">'433'!$H$53</definedName>
    <definedName name="OSRRefH22_4x_0" localSheetId="90">'444'!$H$53</definedName>
    <definedName name="OSRRefH22_4x_0" localSheetId="91">'450'!$H$49</definedName>
    <definedName name="OSRRefH22_4x_0" localSheetId="72">'491'!$H$54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3'!$H$147</definedName>
    <definedName name="OSRRefH22_4x_0" localSheetId="70">'Div 4'!$H$57</definedName>
    <definedName name="OSRRefH22_4x_0" localSheetId="92">'Div 5'!$H$47</definedName>
    <definedName name="OSRRefH22_4x_0" localSheetId="61">'Div 6'!$H$75</definedName>
    <definedName name="OSRRefH22_4x_0" localSheetId="2">Summary!$H$174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'300'!$H$145:$H$146</definedName>
    <definedName name="OSRRefH22_5x_0" localSheetId="49">'300 &amp; 317'!$H$167:$H$168</definedName>
    <definedName name="OSRRefH22_5x_0" localSheetId="50">'301'!$H$48:$H$49</definedName>
    <definedName name="OSRRefH22_5x_0" localSheetId="52">'307'!$H$65:$H$66</definedName>
    <definedName name="OSRRefH22_5x_0" localSheetId="53">'308'!$H$84</definedName>
    <definedName name="OSRRefH22_5x_0" localSheetId="64">'309'!$H$48</definedName>
    <definedName name="OSRRefH22_5x_0" localSheetId="63">'310'!$H$55:$H$56</definedName>
    <definedName name="OSRRefH22_5x_0" localSheetId="71">'310 &amp; 491'!$H$59:$H$61</definedName>
    <definedName name="OSRRefH22_5x_0" localSheetId="54">'311'!$H$83</definedName>
    <definedName name="OSRRefH22_5x_0" localSheetId="65">'313'!$H$50</definedName>
    <definedName name="OSRRefH22_5x_0" localSheetId="57">'315'!$H$107</definedName>
    <definedName name="OSRRefH22_5x_0" localSheetId="60">'316'!$H$57</definedName>
    <definedName name="OSRRefH22_5x_0" localSheetId="62">'317'!$H$77</definedName>
    <definedName name="OSRRefH22_5x_0" localSheetId="66">'321'!$H$52</definedName>
    <definedName name="OSRRefH22_5x_0" localSheetId="67">'322'!$H$49</definedName>
    <definedName name="OSRRefH22_5x_0" localSheetId="68">'325'!$H$51:$H$52</definedName>
    <definedName name="OSRRefH22_5x_0" localSheetId="58">'326'!$H$71</definedName>
    <definedName name="OSRRefH22_5x_0" localSheetId="51">'330'!$H$65:$H$66</definedName>
    <definedName name="OSRRefH22_5x_0" localSheetId="56">'331'!$H$107</definedName>
    <definedName name="OSRRefH22_5x_0" localSheetId="59">'332'!$H$57</definedName>
    <definedName name="OSRRefH22_5x_0" localSheetId="73">'405'!$H$50</definedName>
    <definedName name="OSRRefH22_5x_0" localSheetId="75">'411'!$H$48</definedName>
    <definedName name="OSRRefH22_5x_0" localSheetId="76">'412'!$H$49</definedName>
    <definedName name="OSRRefH22_5x_0" localSheetId="77">'413'!$H$50</definedName>
    <definedName name="OSRRefH22_5x_0" localSheetId="78">'414'!$H$51</definedName>
    <definedName name="OSRRefH22_5x_0" localSheetId="79">'415'!$H$54:$H$55</definedName>
    <definedName name="OSRRefH22_5x_0" localSheetId="80">'418'!$H$50</definedName>
    <definedName name="OSRRefH22_5x_0" localSheetId="82">'423'!$H$47</definedName>
    <definedName name="OSRRefH22_5x_0" localSheetId="84">'425'!$H$35</definedName>
    <definedName name="OSRRefH22_5x_0" localSheetId="87">'430'!$H$50</definedName>
    <definedName name="OSRRefH22_5x_0" localSheetId="88">'433'!$H$55</definedName>
    <definedName name="OSRRefH22_5x_0" localSheetId="90">'444'!$H$55</definedName>
    <definedName name="OSRRefH22_5x_0" localSheetId="91">'450'!$H$51</definedName>
    <definedName name="OSRRefH22_5x_0" localSheetId="72">'491'!$H$56:$H$58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3'!$H$149:$H$150</definedName>
    <definedName name="OSRRefH22_5x_0" localSheetId="70">'Div 4'!$H$59:$H$61</definedName>
    <definedName name="OSRRefH22_5x_0" localSheetId="92">'Div 5'!$H$49:$H$50</definedName>
    <definedName name="OSRRefH22_5x_0" localSheetId="61">'Div 6'!$H$77</definedName>
    <definedName name="OSRRefH22_5x_0" localSheetId="2">Summary!$H$176:$H$178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'205'!$H$50:$H$52</definedName>
    <definedName name="OSRRefH22_6x_0" localSheetId="46">'206'!$H$49</definedName>
    <definedName name="OSRRefH22_6x_0" localSheetId="48">'300'!$H$148:$H$149</definedName>
    <definedName name="OSRRefH22_6x_0" localSheetId="49">'300 &amp; 317'!$H$170:$H$171</definedName>
    <definedName name="OSRRefH22_6x_0" localSheetId="50">'301'!$H$51</definedName>
    <definedName name="OSRRefH22_6x_0" localSheetId="52">'307'!$H$68</definedName>
    <definedName name="OSRRefH22_6x_0" localSheetId="53">'308'!$H$86</definedName>
    <definedName name="OSRRefH22_6x_0" localSheetId="64">'309'!$H$50:$H$51</definedName>
    <definedName name="OSRRefH22_6x_0" localSheetId="63">'310'!$H$58</definedName>
    <definedName name="OSRRefH22_6x_0" localSheetId="71">'310 &amp; 491'!$H$63</definedName>
    <definedName name="OSRRefH22_6x_0" localSheetId="54">'311'!$H$85</definedName>
    <definedName name="OSRRefH22_6x_0" localSheetId="65">'313'!$H$52:$H$53</definedName>
    <definedName name="OSRRefH22_6x_0" localSheetId="57">'315'!$H$109</definedName>
    <definedName name="OSRRefH22_6x_0" localSheetId="60">'316'!$H$59:$H$60</definedName>
    <definedName name="OSRRefH22_6x_0" localSheetId="62">'317'!$H$79:$H$80</definedName>
    <definedName name="OSRRefH22_6x_0" localSheetId="66">'321'!$H$54</definedName>
    <definedName name="OSRRefH22_6x_0" localSheetId="67">'322'!$H$51</definedName>
    <definedName name="OSRRefH22_6x_0" localSheetId="68">'325'!$H$54</definedName>
    <definedName name="OSRRefH22_6x_0" localSheetId="58">'326'!$H$73</definedName>
    <definedName name="OSRRefH22_6x_0" localSheetId="51">'330'!$H$68</definedName>
    <definedName name="OSRRefH22_6x_0" localSheetId="56">'331'!$H$109</definedName>
    <definedName name="OSRRefH22_6x_0" localSheetId="59">'332'!$H$59:$H$60</definedName>
    <definedName name="OSRRefH22_6x_0" localSheetId="73">'405'!$H$52</definedName>
    <definedName name="OSRRefH22_6x_0" localSheetId="75">'411'!$H$50</definedName>
    <definedName name="OSRRefH22_6x_0" localSheetId="76">'412'!$H$51</definedName>
    <definedName name="OSRRefH22_6x_0" localSheetId="77">'413'!$H$52</definedName>
    <definedName name="OSRRefH22_6x_0" localSheetId="78">'414'!$H$53</definedName>
    <definedName name="OSRRefH22_6x_0" localSheetId="79">'415'!$H$57</definedName>
    <definedName name="OSRRefH22_6x_0" localSheetId="80">'418'!$H$52</definedName>
    <definedName name="OSRRefH22_6x_0" localSheetId="82">'423'!$H$49</definedName>
    <definedName name="OSRRefH22_6x_0" localSheetId="87">'430'!$H$52</definedName>
    <definedName name="OSRRefH22_6x_0" localSheetId="88">'433'!$H$57</definedName>
    <definedName name="OSRRefH22_6x_0" localSheetId="90">'444'!$H$57</definedName>
    <definedName name="OSRRefH22_6x_0" localSheetId="91">'450'!$H$53</definedName>
    <definedName name="OSRRefH22_6x_0" localSheetId="72">'491'!$H$60</definedName>
    <definedName name="OSRRefH22_6x_0" localSheetId="86">'492'!$H$57</definedName>
    <definedName name="OSRRefH22_6x_0" localSheetId="93">'501'!$H$52</definedName>
    <definedName name="OSRRefH22_6x_0" localSheetId="39">'Div 2'!$H$53</definedName>
    <definedName name="OSRRefH22_6x_0" localSheetId="47">'Div 3'!$H$152:$H$153</definedName>
    <definedName name="OSRRefH22_6x_0" localSheetId="70">'Div 4'!$H$63</definedName>
    <definedName name="OSRRefH22_6x_0" localSheetId="92">'Div 5'!$H$52</definedName>
    <definedName name="OSRRefH22_6x_0" localSheetId="61">'Div 6'!$H$79:$H$80</definedName>
    <definedName name="OSRRefH22_6x_0" localSheetId="2">Summary!$H$180:$H$181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'204'!$H$53:$H$55</definedName>
    <definedName name="OSRRefH22_7x_0" localSheetId="45">'205'!$H$54</definedName>
    <definedName name="OSRRefH22_7x_0" localSheetId="46">'206'!$H$51</definedName>
    <definedName name="OSRRefH22_7x_0" localSheetId="48">'300'!$H$151:$H$152</definedName>
    <definedName name="OSRRefH22_7x_0" localSheetId="49">'300 &amp; 317'!$H$173:$H$174</definedName>
    <definedName name="OSRRefH22_7x_0" localSheetId="50">'301'!$H$53</definedName>
    <definedName name="OSRRefH22_7x_0" localSheetId="52">'307'!$H$70</definedName>
    <definedName name="OSRRefH22_7x_0" localSheetId="53">'308'!$H$88:$H$89</definedName>
    <definedName name="OSRRefH22_7x_0" localSheetId="64">'309'!$H$53:$H$54</definedName>
    <definedName name="OSRRefH22_7x_0" localSheetId="63">'310'!$H$60</definedName>
    <definedName name="OSRRefH22_7x_0" localSheetId="71">'310 &amp; 491'!$H$65</definedName>
    <definedName name="OSRRefH22_7x_0" localSheetId="54">'311'!$H$87:$H$88</definedName>
    <definedName name="OSRRefH22_7x_0" localSheetId="65">'313'!$H$55</definedName>
    <definedName name="OSRRefH22_7x_0" localSheetId="57">'315'!$H$111:$H$112</definedName>
    <definedName name="OSRRefH22_7x_0" localSheetId="60">'316'!$H$62:$H$63</definedName>
    <definedName name="OSRRefH22_7x_0" localSheetId="62">'317'!$H$82</definedName>
    <definedName name="OSRRefH22_7x_0" localSheetId="66">'321'!$H$56:$H$57</definedName>
    <definedName name="OSRRefH22_7x_0" localSheetId="67">'322'!$H$53:$H$54</definedName>
    <definedName name="OSRRefH22_7x_0" localSheetId="68">'325'!$H$56</definedName>
    <definedName name="OSRRefH22_7x_0" localSheetId="58">'326'!$H$75</definedName>
    <definedName name="OSRRefH22_7x_0" localSheetId="51">'330'!$H$70</definedName>
    <definedName name="OSRRefH22_7x_0" localSheetId="56">'331'!$H$111</definedName>
    <definedName name="OSRRefH22_7x_0" localSheetId="59">'332'!$H$62:$H$63</definedName>
    <definedName name="OSRRefH22_7x_0" localSheetId="73">'405'!$H$54</definedName>
    <definedName name="OSRRefH22_7x_0" localSheetId="75">'411'!$H$52</definedName>
    <definedName name="OSRRefH22_7x_0" localSheetId="76">'412'!$H$53</definedName>
    <definedName name="OSRRefH22_7x_0" localSheetId="77">'413'!$H$54</definedName>
    <definedName name="OSRRefH22_7x_0" localSheetId="78">'414'!$H$55</definedName>
    <definedName name="OSRRefH22_7x_0" localSheetId="79">'415'!$H$59</definedName>
    <definedName name="OSRRefH22_7x_0" localSheetId="80">'418'!$H$54</definedName>
    <definedName name="OSRRefH22_7x_0" localSheetId="88">'433'!$H$59</definedName>
    <definedName name="OSRRefH22_7x_0" localSheetId="90">'444'!$H$59</definedName>
    <definedName name="OSRRefH22_7x_0" localSheetId="91">'450'!$H$55</definedName>
    <definedName name="OSRRefH22_7x_0" localSheetId="72">'491'!$H$62</definedName>
    <definedName name="OSRRefH22_7x_0" localSheetId="86">'492'!$H$59</definedName>
    <definedName name="OSRRefH22_7x_0" localSheetId="93">'501'!$H$54</definedName>
    <definedName name="OSRRefH22_7x_0" localSheetId="39">'Div 2'!$H$55</definedName>
    <definedName name="OSRRefH22_7x_0" localSheetId="47">'Div 3'!$H$155:$H$156</definedName>
    <definedName name="OSRRefH22_7x_0" localSheetId="70">'Div 4'!$H$65</definedName>
    <definedName name="OSRRefH22_7x_0" localSheetId="92">'Div 5'!$H$54</definedName>
    <definedName name="OSRRefH22_7x_0" localSheetId="61">'Div 6'!$H$82</definedName>
    <definedName name="OSRRefH22_7x_0" localSheetId="2">Summary!$H$183:$H$184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'300'!$H$154</definedName>
    <definedName name="OSRRefH22_8x_0" localSheetId="49">'300 &amp; 317'!$H$176</definedName>
    <definedName name="OSRRefH22_8x_0" localSheetId="50">'301'!$H$55</definedName>
    <definedName name="OSRRefH22_8x_0" localSheetId="52">'307'!$H$72</definedName>
    <definedName name="OSRRefH22_8x_0" localSheetId="53">'308'!$H$91</definedName>
    <definedName name="OSRRefH22_8x_0" localSheetId="64">'309'!$H$56:$H$57</definedName>
    <definedName name="OSRRefH22_8x_0" localSheetId="63">'310'!$H$62</definedName>
    <definedName name="OSRRefH22_8x_0" localSheetId="71">'310 &amp; 491'!$H$67:$H$68</definedName>
    <definedName name="OSRRefH22_8x_0" localSheetId="54">'311'!$H$90</definedName>
    <definedName name="OSRRefH22_8x_0" localSheetId="65">'313'!$H$57:$H$59</definedName>
    <definedName name="OSRRefH22_8x_0" localSheetId="57">'315'!$H$114</definedName>
    <definedName name="OSRRefH22_8x_0" localSheetId="60">'316'!$H$65</definedName>
    <definedName name="OSRRefH22_8x_0" localSheetId="62">'317'!$H$84</definedName>
    <definedName name="OSRRefH22_8x_0" localSheetId="66">'321'!$H$59:$H$60</definedName>
    <definedName name="OSRRefH22_8x_0" localSheetId="67">'322'!$H$56:$H$57</definedName>
    <definedName name="OSRRefH22_8x_0" localSheetId="68">'325'!$H$58</definedName>
    <definedName name="OSRRefH22_8x_0" localSheetId="58">'326'!$H$77:$H$78</definedName>
    <definedName name="OSRRefH22_8x_0" localSheetId="51">'330'!$H$72</definedName>
    <definedName name="OSRRefH22_8x_0" localSheetId="56">'331'!$H$113:$H$114</definedName>
    <definedName name="OSRRefH22_8x_0" localSheetId="59">'332'!$H$65</definedName>
    <definedName name="OSRRefH22_8x_0" localSheetId="73">'405'!$H$56:$H$57</definedName>
    <definedName name="OSRRefH22_8x_0" localSheetId="75">'411'!$H$54</definedName>
    <definedName name="OSRRefH22_8x_0" localSheetId="76">'412'!$H$55:$H$56</definedName>
    <definedName name="OSRRefH22_8x_0" localSheetId="77">'413'!$H$56:$H$58</definedName>
    <definedName name="OSRRefH22_8x_0" localSheetId="78">'414'!$H$57:$H$58</definedName>
    <definedName name="OSRRefH22_8x_0" localSheetId="79">'415'!$H$61</definedName>
    <definedName name="OSRRefH22_8x_0" localSheetId="80">'418'!$H$56:$H$58</definedName>
    <definedName name="OSRRefH22_8x_0" localSheetId="88">'433'!$H$61</definedName>
    <definedName name="OSRRefH22_8x_0" localSheetId="90">'444'!$H$61</definedName>
    <definedName name="OSRRefH22_8x_0" localSheetId="91">'450'!$H$57</definedName>
    <definedName name="OSRRefH22_8x_0" localSheetId="72">'491'!$H$64</definedName>
    <definedName name="OSRRefH22_8x_0" localSheetId="86">'492'!$H$61</definedName>
    <definedName name="OSRRefH22_8x_0" localSheetId="93">'501'!$H$56</definedName>
    <definedName name="OSRRefH22_8x_0" localSheetId="39">'Div 2'!$H$57</definedName>
    <definedName name="OSRRefH22_8x_0" localSheetId="47">'Div 3'!$H$158</definedName>
    <definedName name="OSRRefH22_8x_0" localSheetId="70">'Div 4'!$H$67</definedName>
    <definedName name="OSRRefH22_8x_0" localSheetId="92">'Div 5'!$H$56</definedName>
    <definedName name="OSRRefH22_8x_0" localSheetId="61">'Div 6'!$H$84</definedName>
    <definedName name="OSRRefH22_8x_0" localSheetId="2">Summary!$H$186</definedName>
    <definedName name="OSRRefH22_9x_0" localSheetId="41">'201'!$H$56</definedName>
    <definedName name="OSRRefH22_9x_0" localSheetId="42">'202'!$H$58:$H$60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'300'!$H$156</definedName>
    <definedName name="OSRRefH22_9x_0" localSheetId="49">'300 &amp; 317'!$H$178</definedName>
    <definedName name="OSRRefH22_9x_0" localSheetId="50">'301'!$H$57</definedName>
    <definedName name="OSRRefH22_9x_0" localSheetId="52">'307'!$H$74:$H$75</definedName>
    <definedName name="OSRRefH22_9x_0" localSheetId="53">'308'!$H$93:$H$94</definedName>
    <definedName name="OSRRefH22_9x_0" localSheetId="64">'309'!$H$59</definedName>
    <definedName name="OSRRefH22_9x_0" localSheetId="63">'310'!$H$64</definedName>
    <definedName name="OSRRefH22_9x_0" localSheetId="71">'310 &amp; 491'!$H$70</definedName>
    <definedName name="OSRRefH22_9x_0" localSheetId="54">'311'!$H$92:$H$93</definedName>
    <definedName name="OSRRefH22_9x_0" localSheetId="65">'313'!$H$61:$H$62</definedName>
    <definedName name="OSRRefH22_9x_0" localSheetId="57">'315'!$H$116</definedName>
    <definedName name="OSRRefH22_9x_0" localSheetId="60">'316'!$H$67:$H$71</definedName>
    <definedName name="OSRRefH22_9x_0" localSheetId="62">'317'!$H$86</definedName>
    <definedName name="OSRRefH22_9x_0" localSheetId="66">'321'!$H$62:$H$63</definedName>
    <definedName name="OSRRefH22_9x_0" localSheetId="67">'322'!$H$59:$H$62</definedName>
    <definedName name="OSRRefH22_9x_0" localSheetId="68">'325'!$H$60</definedName>
    <definedName name="OSRRefH22_9x_0" localSheetId="58">'326'!$H$80</definedName>
    <definedName name="OSRRefH22_9x_0" localSheetId="51">'330'!$H$74:$H$75</definedName>
    <definedName name="OSRRefH22_9x_0" localSheetId="56">'331'!$H$116:$H$117</definedName>
    <definedName name="OSRRefH22_9x_0" localSheetId="59">'332'!$H$67:$H$71</definedName>
    <definedName name="OSRRefH22_9x_0" localSheetId="73">'405'!$H$59</definedName>
    <definedName name="OSRRefH22_9x_0" localSheetId="75">'411'!$H$56:$H$57</definedName>
    <definedName name="OSRRefH22_9x_0" localSheetId="76">'412'!$H$58</definedName>
    <definedName name="OSRRefH22_9x_0" localSheetId="77">'413'!$H$60:$H$61</definedName>
    <definedName name="OSRRefH22_9x_0" localSheetId="78">'414'!$H$60</definedName>
    <definedName name="OSRRefH22_9x_0" localSheetId="79">'415'!$H$63</definedName>
    <definedName name="OSRRefH22_9x_0" localSheetId="80">'418'!$H$60:$H$61</definedName>
    <definedName name="OSRRefH22_9x_0" localSheetId="88">'433'!$H$63</definedName>
    <definedName name="OSRRefH22_9x_0" localSheetId="90">'444'!$H$63</definedName>
    <definedName name="OSRRefH22_9x_0" localSheetId="91">'450'!$H$59</definedName>
    <definedName name="OSRRefH22_9x_0" localSheetId="72">'491'!$H$66</definedName>
    <definedName name="OSRRefH22_9x_0" localSheetId="86">'492'!$H$63</definedName>
    <definedName name="OSRRefH22_9x_0" localSheetId="93">'501'!$H$58:$H$61</definedName>
    <definedName name="OSRRefH22_9x_0" localSheetId="39">'Div 2'!$H$59:$H$60</definedName>
    <definedName name="OSRRefH22_9x_0" localSheetId="47">'Div 3'!$H$160</definedName>
    <definedName name="OSRRefH22_9x_0" localSheetId="70">'Div 4'!$H$69</definedName>
    <definedName name="OSRRefH22_9x_0" localSheetId="92">'Div 5'!$H$58:$H$61</definedName>
    <definedName name="OSRRefH22_9x_0" localSheetId="61">'Div 6'!$H$86</definedName>
    <definedName name="OSRRefH22_9x_0" localSheetId="2">Summary!$H$188</definedName>
    <definedName name="OSRRefH22x_0" localSheetId="40">'200'!$H$20,'200'!$H$22,'200'!$H$24,'200'!$H$26,'200'!$H$28:$H$29</definedName>
    <definedName name="OSRRefH22x_0" localSheetId="41">'201'!$H$21:$H$29,'201'!$H$31:$H$40,'201'!$H$42,'201'!$H$44,'201'!$H$46,'201'!$H$48,'201'!$H$50,'201'!$H$52,'201'!$H$54,'201'!$H$56,'201'!$H$58:$H$60,'201'!$H$62,'201'!$H$64,'201'!$H$66:$H$68,'201'!$H$70,'201'!$H$72,'201'!$H$74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$116:$H$125,'300'!$H$127:$H$136,'300'!$H$138,'300'!$H$140:$H$141,'300'!$H$143,'300'!$H$145:$H$146,'300'!$H$148:$H$149,'300'!$H$151:$H$152,'300'!$H$154,'300'!$H$156,'300'!$H$158:$H$159,'300'!$H$161:$H$163,'300'!$H$165,'300'!$H$167,'300'!$H$169,'300'!$H$171,'300'!$H$173:$H$176,'300'!$H$178:$H$181,'300'!$H$183:$H$186,'300'!$H$188:$H$189,'300'!$H$191:$H$199,'300'!$H$201:$H$202,'300'!$H$204,'300'!$H$206:$H$208,'300'!$H$210</definedName>
    <definedName name="OSRRefH22x_0" localSheetId="49">'300 &amp; 317'!$H$138:$H$147,'300 &amp; 317'!$H$149:$H$158,'300 &amp; 317'!$H$160,'300 &amp; 317'!$H$162:$H$163,'300 &amp; 317'!$H$165,'300 &amp; 317'!$H$167:$H$168,'300 &amp; 317'!$H$170:$H$171,'300 &amp; 317'!$H$173:$H$174,'300 &amp; 317'!$H$176,'300 &amp; 317'!$H$178,'300 &amp; 317'!$H$180:$H$181,'300 &amp; 317'!$H$183:$H$185,'300 &amp; 317'!$H$187,'300 &amp; 317'!$H$189,'300 &amp; 317'!$H$191,'300 &amp; 317'!$H$193,'300 &amp; 317'!$H$195:$H$198,'300 &amp; 317'!$H$200:$H$203,'300 &amp; 317'!$H$205:$H$208,'300 &amp; 317'!$H$210:$H$211,'300 &amp; 317'!$H$213:$H$221,'300 &amp; 317'!$H$223:$H$224,'300 &amp; 317'!$H$226,'300 &amp; 317'!$H$228:$H$230,'300 &amp; 317'!$H$232</definedName>
    <definedName name="OSRRefH22x_0" localSheetId="50">'301'!$H$20:$H$28,'301'!$H$30:$H$39,'301'!$H$41,'301'!$H$43:$H$44,'301'!$H$46,'301'!$H$48:$H$49,'301'!$H$51,'301'!$H$53,'301'!$H$55,'301'!$H$57,'301'!$H$59,'301'!$H$61,'301'!$H$63,'301'!$H$65,'301'!$H$67:$H$70,'301'!$H$72:$H$74,'301'!$H$76,'301'!$H$78:$H$84,'301'!$H$86,'301'!$H$88,'301'!$H$90:$H$91,'301'!$H$93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'308'!$H$56:$H$65,'308'!$H$67:$H$76,'308'!$H$78,'308'!$H$80,'308'!$H$82,'308'!$H$84,'308'!$H$86,'308'!$H$88:$H$89,'308'!$H$91,'308'!$H$93:$H$94,'308'!$H$96,'308'!$H$98:$H$100,'308'!$H$102:$H$103,'308'!$H$105</definedName>
    <definedName name="OSRRefH22x_0" localSheetId="64">'309'!$H$22:$H$29,'309'!$H$31:$H$40,'309'!$H$42,'309'!$H$44,'309'!$H$46,'309'!$H$48,'309'!$H$50:$H$51,'309'!$H$53:$H$54,'309'!$H$56:$H$57,'309'!$H$59</definedName>
    <definedName name="OSRRefH22x_0" localSheetId="63">'310'!$H$28:$H$36,'310'!$H$38:$H$47,'310'!$H$49,'310'!$H$51,'310'!$H$53,'310'!$H$55:$H$56,'310'!$H$58,'310'!$H$60,'310'!$H$62,'310'!$H$64,'310'!$H$66,'310'!$H$68,'310'!$H$70:$H$73,'310'!$H$75:$H$76,'310'!$H$78:$H$81,'310'!$H$83,'310'!$H$85:$H$91,'310'!$H$93:$H$94,'310'!$H$96,'310'!$H$98,'310'!$H$100</definedName>
    <definedName name="OSRRefH22x_0" localSheetId="71">'310 &amp; 491'!$H$32:$H$40,'310 &amp; 491'!$H$42:$H$51,'310 &amp; 491'!$H$53,'310 &amp; 491'!$H$55,'310 &amp; 491'!$H$57,'310 &amp; 491'!$H$59:$H$61,'310 &amp; 491'!$H$63,'310 &amp; 491'!$H$65,'310 &amp; 491'!$H$67:$H$68,'310 &amp; 491'!$H$70,'310 &amp; 491'!$H$72,'310 &amp; 491'!$H$74,'310 &amp; 491'!$H$76,'310 &amp; 491'!$H$78:$H$81,'310 &amp; 491'!$H$83:$H$84,'310 &amp; 491'!$H$86:$H$90,'310 &amp; 491'!$H$92,'310 &amp; 491'!$H$94:$H$104,'310 &amp; 491'!$H$106:$H$107,'310 &amp; 491'!$H$109,'310 &amp; 491'!$H$111:$H$113,'310 &amp; 491'!$H$115</definedName>
    <definedName name="OSRRefH22x_0" localSheetId="54">'311'!$H$55:$H$64,'311'!$H$66:$H$75,'311'!$H$77,'311'!$H$79,'311'!$H$81,'311'!$H$83,'311'!$H$85,'311'!$H$87:$H$88,'311'!$H$90,'311'!$H$92:$H$93,'311'!$H$95,'311'!$H$97:$H$99,'311'!$H$101:$H$102,'311'!$H$104</definedName>
    <definedName name="OSRRefH22x_0" localSheetId="65">'313'!$H$23:$H$31,'313'!$H$33:$H$42,'313'!$H$44,'313'!$H$46,'313'!$H$48,'313'!$H$50,'313'!$H$52:$H$53,'313'!$H$55,'313'!$H$57:$H$59,'313'!$H$61:$H$62,'313'!$H$64,'313'!$H$66</definedName>
    <definedName name="OSRRefH22x_0" localSheetId="57">'315'!$H$80:$H$88,'315'!$H$90:$H$99,'315'!$H$101,'315'!$H$103,'315'!$H$105,'315'!$H$107,'315'!$H$109,'315'!$H$111:$H$112,'315'!$H$114,'315'!$H$116,'315'!$H$118,'315'!$H$120,'315'!$H$122:$H$124,'315'!$H$126:$H$127,'315'!$H$129:$H$135,'315'!$H$137,'315'!$H$139:$H$140</definedName>
    <definedName name="OSRRefH22x_0" localSheetId="60">'316'!$H$30:$H$38,'316'!$H$40:$H$49,'316'!$H$51,'316'!$H$53,'316'!$H$55,'316'!$H$57,'316'!$H$59:$H$60,'316'!$H$62:$H$63,'316'!$H$65,'316'!$H$67:$H$71,'316'!$H$73,'316'!$H$75</definedName>
    <definedName name="OSRRefH22x_0" localSheetId="62">'317'!$H$49:$H$58,'317'!$H$60:$H$69,'317'!$H$71,'317'!$H$73,'317'!$H$75,'317'!$H$77,'317'!$H$79:$H$80,'317'!$H$82,'317'!$H$84,'317'!$H$86,'317'!$H$88:$H$90,'317'!$H$92,'317'!$H$94</definedName>
    <definedName name="OSRRefH22x_0" localSheetId="66">'321'!$H$25:$H$33,'321'!$H$35:$H$44,'321'!$H$46,'321'!$H$48,'321'!$H$50,'321'!$H$52,'321'!$H$54,'321'!$H$56:$H$57,'321'!$H$59:$H$60,'321'!$H$62:$H$63,'321'!$H$65:$H$67,'321'!$H$69:$H$70,'321'!$H$72,'321'!$H$74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'325'!$H$25:$H$32,'325'!$H$34:$H$43,'325'!$H$45,'325'!$H$47,'325'!$H$49,'325'!$H$51:$H$52,'325'!$H$54,'325'!$H$56,'325'!$H$58,'325'!$H$60,'325'!$H$62:$H$65,'325'!$H$67:$H$69,'325'!$H$71,'325'!$H$73:$H$77,'325'!$H$79:$H$80,'325'!$H$82,'325'!$H$84</definedName>
    <definedName name="OSRRefH22x_0" localSheetId="58">'326'!$H$44:$H$52,'326'!$H$54:$H$63,'326'!$H$65,'326'!$H$67,'326'!$H$69,'326'!$H$71,'326'!$H$73,'326'!$H$75,'326'!$H$77:$H$78,'326'!$H$80,'326'!$H$82,'326'!$H$84,'326'!$H$86,'326'!$H$88:$H$89,'326'!$H$91:$H$93,'326'!$H$95:$H$96,'326'!$H$98:$H$103,'326'!$H$105:$H$106,'326'!$H$108,'326'!$H$110:$H$111,'326'!$H$113</definedName>
    <definedName name="OSRRefH22x_0" localSheetId="69">'327'!$H$24</definedName>
    <definedName name="OSRRefH22x_0" localSheetId="51">'330'!$H$39:$H$46,'330'!$H$48:$H$57,'330'!$H$59,'330'!$H$61,'330'!$H$63,'330'!$H$65:$H$66,'330'!$H$68,'330'!$H$70,'330'!$H$72,'330'!$H$74:$H$75,'330'!$H$77:$H$78,'330'!$H$80:$H$83,'330'!$H$85:$H$86,'330'!$H$88</definedName>
    <definedName name="OSRRefH22x_0" localSheetId="56">'331'!$H$80:$H$88,'331'!$H$90:$H$99,'331'!$H$101,'331'!$H$103,'331'!$H$105,'331'!$H$107,'331'!$H$109,'331'!$H$111,'331'!$H$113:$H$114,'331'!$H$116:$H$117,'331'!$H$119,'331'!$H$121,'331'!$H$123,'331'!$H$125,'331'!$H$127:$H$128,'331'!$H$130:$H$132,'331'!$H$134:$H$136,'331'!$H$138:$H$139,'331'!$H$141:$H$148,'331'!$H$150:$H$151,'331'!$H$153,'331'!$H$155:$H$156,'331'!$H$158</definedName>
    <definedName name="OSRRefH22x_0" localSheetId="59">'332'!$H$30:$H$38,'332'!$H$40:$H$49,'332'!$H$51,'332'!$H$53,'332'!$H$55,'332'!$H$57,'332'!$H$59:$H$60,'332'!$H$62:$H$63,'332'!$H$65,'332'!$H$67:$H$71,'332'!$H$73,'332'!$H$75</definedName>
    <definedName name="OSRRefH22x_0" localSheetId="73">'405'!$H$23:$H$30,'405'!$H$32:$H$41,'405'!$H$43,'405'!$H$45,'405'!$H$47:$H$48,'405'!$H$50,'405'!$H$52,'405'!$H$54,'405'!$H$56:$H$57,'405'!$H$59,'405'!$H$61:$H$64,'405'!$H$66,'405'!$H$68:$H$76,'405'!$H$78,'405'!$H$80,'405'!$H$82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'411'!$H$20:$H$28,'411'!$H$30:$H$39,'411'!$H$41,'411'!$H$43,'411'!$H$45:$H$46,'411'!$H$48,'411'!$H$50,'411'!$H$52,'411'!$H$54,'411'!$H$56:$H$57,'411'!$H$59:$H$62,'411'!$H$64:$H$70,'411'!$H$72,'411'!$H$74,'411'!$H$76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7">'413'!$H$23:$H$31,'413'!$H$33:$H$42,'413'!$H$44,'413'!$H$46,'413'!$H$48,'413'!$H$50,'413'!$H$52,'413'!$H$54,'413'!$H$56:$H$58,'413'!$H$60:$H$61,'413'!$H$63:$H$70,'413'!$H$72:$H$73,'413'!$H$75</definedName>
    <definedName name="OSRRefH22x_0" localSheetId="78">'414'!$H$24:$H$32,'414'!$H$34:$H$43,'414'!$H$45,'414'!$H$47,'414'!$H$49,'414'!$H$51,'414'!$H$53,'414'!$H$55,'414'!$H$57:$H$58,'414'!$H$60,'414'!$H$62,'414'!$H$64,'414'!$H$66:$H$68,'414'!$H$70,'414'!$H$72,'414'!$H$74</definedName>
    <definedName name="OSRRefH22x_0" localSheetId="79">'415'!$H$27:$H$35,'415'!$H$37:$H$46,'415'!$H$48,'415'!$H$50,'415'!$H$52,'415'!$H$54:$H$55,'415'!$H$57,'415'!$H$59,'415'!$H$61,'415'!$H$63,'415'!$H$65:$H$66,'415'!$H$68:$H$72,'415'!$H$74,'415'!$H$76:$H$82,'415'!$H$84:$H$85,'415'!$H$87,'415'!$H$89:$H$90,'415'!$H$92</definedName>
    <definedName name="OSRRefH22x_0" localSheetId="80">'418'!$H$23:$H$30,'418'!$H$32:$H$41,'418'!$H$43,'418'!$H$45,'418'!$H$47:$H$48,'418'!$H$50,'418'!$H$52,'418'!$H$54,'418'!$H$56:$H$58,'418'!$H$60:$H$61,'418'!$H$63,'418'!$H$65:$H$74,'418'!$H$76:$H$77,'418'!$H$79</definedName>
    <definedName name="OSRRefH22x_0" localSheetId="81">'420'!$H$21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'425'!$H$20:$H$24,'425'!$H$26,'425'!$H$28,'425'!$H$30,'425'!$H$32:$H$33,'425'!$H$35</definedName>
    <definedName name="OSRRefH22x_0" localSheetId="87">'430'!$H$20:$H$28,'430'!$H$30:$H$39,'430'!$H$41,'430'!$H$43:$H$45,'430'!$H$47:$H$48,'430'!$H$50,'430'!$H$52</definedName>
    <definedName name="OSRRefH22x_0" localSheetId="88">'433'!$H$27:$H$36,'433'!$H$38:$H$47,'433'!$H$49,'433'!$H$51,'433'!$H$53,'433'!$H$55,'433'!$H$57,'433'!$H$59,'433'!$H$61,'433'!$H$63,'433'!$H$65,'433'!$H$67:$H$68,'433'!$H$70:$H$73,'433'!$H$75:$H$82,'433'!$H$84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'444'!$H$27:$H$36,'444'!$H$38:$H$47,'444'!$H$49,'444'!$H$51,'444'!$H$53,'444'!$H$55,'444'!$H$57,'444'!$H$59,'444'!$H$61,'444'!$H$63,'444'!$H$65,'444'!$H$67:$H$70,'444'!$H$72:$H$74,'444'!$H$76,'444'!$H$78:$H$86,'444'!$H$88:$H$89,'444'!$H$91</definedName>
    <definedName name="OSRRefH22x_0" localSheetId="91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$29:$H$37,'491'!$H$39:$H$48,'491'!$H$50,'491'!$H$52,'491'!$H$54,'491'!$H$56:$H$58,'491'!$H$60,'491'!$H$62,'491'!$H$64,'491'!$H$66,'491'!$H$68,'491'!$H$70,'491'!$H$72,'491'!$H$74:$H$77,'491'!$H$79:$H$80,'491'!$H$82:$H$86,'491'!$H$88,'491'!$H$90:$H$100,'491'!$H$102:$H$103,'491'!$H$105,'491'!$H$107:$H$109,'491'!$H$111</definedName>
    <definedName name="OSRRefH22x_0" localSheetId="86">'492'!$H$27:$H$36,'492'!$H$38:$H$47,'492'!$H$49,'492'!$H$51,'492'!$H$53,'492'!$H$55,'492'!$H$57,'492'!$H$59,'492'!$H$61,'492'!$H$63,'492'!$H$65,'492'!$H$67,'492'!$H$69:$H$72,'492'!$H$74:$H$77,'492'!$H$79,'492'!$H$81:$H$90,'492'!$H$92:$H$93,'492'!$H$95,'492'!$H$97</definedName>
    <definedName name="OSRRefH22x_0" localSheetId="93">'501'!$H$21:$H$30,'501'!$H$32:$H$41,'501'!$H$43,'501'!$H$45,'501'!$H$47,'501'!$H$49:$H$50,'501'!$H$52,'501'!$H$54,'501'!$H$56,'501'!$H$58:$H$61,'501'!$H$63:$H$64,'501'!$H$66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7">'Div 3'!$H$120:$H$129,'Div 3'!$H$131:$H$140,'Div 3'!$H$142,'Div 3'!$H$144:$H$145,'Div 3'!$H$147,'Div 3'!$H$149:$H$150,'Div 3'!$H$152:$H$153,'Div 3'!$H$155:$H$156,'Div 3'!$H$158,'Div 3'!$H$160,'Div 3'!$H$162:$H$163,'Div 3'!$H$165:$H$167,'Div 3'!$H$169,'Div 3'!$H$171,'Div 3'!$H$173,'Div 3'!$H$175,'Div 3'!$H$177,'Div 3'!$H$179:$H$182,'Div 3'!$H$184:$H$187,'Div 3'!$H$189:$H$193,'Div 3'!$H$195:$H$196,'Div 3'!$H$198:$H$206,'Div 3'!$H$208:$H$209,'Div 3'!$H$211,'Div 3'!$H$213:$H$215,'Div 3'!$H$217</definedName>
    <definedName name="OSRRefH22x_0" localSheetId="70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4'!$H$95:$H$96,'Div 4'!$H$98:$H$108,'Div 4'!$H$110:$H$111,'Div 4'!$H$113,'Div 4'!$H$115:$H$117,'Div 4'!$H$119</definedName>
    <definedName name="OSRRefH22x_0" localSheetId="92">'Div 5'!$H$21:$H$30,'Div 5'!$H$32:$H$41,'Div 5'!$H$43,'Div 5'!$H$45,'Div 5'!$H$47,'Div 5'!$H$49:$H$50,'Div 5'!$H$52,'Div 5'!$H$54,'Div 5'!$H$56,'Div 5'!$H$58:$H$61,'Div 5'!$H$63:$H$64,'Div 5'!$H$66</definedName>
    <definedName name="OSRRefH22x_0" localSheetId="61">'Div 6'!$H$49:$H$58,'Div 6'!$H$60:$H$69,'Div 6'!$H$71,'Div 6'!$H$73,'Div 6'!$H$75,'Div 6'!$H$77,'Div 6'!$H$79:$H$80,'Div 6'!$H$82,'Div 6'!$H$84,'Div 6'!$H$86,'Div 6'!$H$88:$H$90,'Div 6'!$H$92,'Div 6'!$H$94</definedName>
    <definedName name="OSRRefH22x_0" localSheetId="2">Summary!$H$147:$H$156,Summary!$H$158:$H$167,Summary!$H$169,Summary!$H$171:$H$172,Summary!$H$174,Summary!$H$176:$H$178,Summary!$H$180:$H$181,Summary!$H$183:$H$184,Summary!$H$186,Summary!$H$188,Summary!$H$190:$H$191,Summary!$H$193:$H$195,Summary!$H$197,Summary!$H$199,Summary!$H$201,Summary!$H$203,Summary!$H$205,Summary!$H$207,Summary!$H$209:$H$212,Summary!$H$214:$H$217,Summary!$H$219:$H$223,Summary!$H$225:$H$226,Summary!$H$228:$H$238,Summary!$H$240:$H$241,Summary!$H$243,Summary!$H$245:$H$247,Summary!$H$249</definedName>
    <definedName name="OSRRefH25x_0" localSheetId="42">'202'!$H$69:$H$71</definedName>
    <definedName name="OSRRefH25x_0" localSheetId="48">'300'!$H$213:$H$216</definedName>
    <definedName name="OSRRefH25x_0" localSheetId="49">'300 &amp; 317'!$H$235:$H$239</definedName>
    <definedName name="OSRRefH25x_0" localSheetId="50">'301'!$H$96:$H$97</definedName>
    <definedName name="OSRRefH25x_0" localSheetId="53">'308'!$H$108:$H$110</definedName>
    <definedName name="OSRRefH25x_0" localSheetId="71">'310 &amp; 491'!$H$118:$H$121</definedName>
    <definedName name="OSRRefH25x_0" localSheetId="54">'311'!$H$107:$H$109</definedName>
    <definedName name="OSRRefH25x_0" localSheetId="57">'315'!$H$143:$H$145</definedName>
    <definedName name="OSRRefH25x_0" localSheetId="60">'316'!$H$78</definedName>
    <definedName name="OSRRefH25x_0" localSheetId="62">'317'!$H$97:$H$98</definedName>
    <definedName name="OSRRefH25x_0" localSheetId="56">'331'!$H$161:$H$163</definedName>
    <definedName name="OSRRefH25x_0" localSheetId="59">'332'!$H$78</definedName>
    <definedName name="OSRRefH25x_0" localSheetId="75">'411'!$H$79:$H$80</definedName>
    <definedName name="OSRRefH25x_0" localSheetId="80">'418'!$H$82</definedName>
    <definedName name="OSRRefH25x_0" localSheetId="82">'423'!$H$52:$H$54</definedName>
    <definedName name="OSRRefH25x_0" localSheetId="85">'455'!$H$21:$H$22</definedName>
    <definedName name="OSRRefH25x_0" localSheetId="72">'491'!$H$114:$H$117</definedName>
    <definedName name="OSRRefH25x_0" localSheetId="93">'501'!$H$69</definedName>
    <definedName name="OSRRefH25x_0" localSheetId="39">'Div 2'!$H$98:$H$100</definedName>
    <definedName name="OSRRefH25x_0" localSheetId="47">'Div 3'!$H$220:$H$223</definedName>
    <definedName name="OSRRefH25x_0" localSheetId="70">'Div 4'!$H$122:$H$125</definedName>
    <definedName name="OSRRefH25x_0" localSheetId="92">'Div 5'!$H$69</definedName>
    <definedName name="OSRRefH25x_0" localSheetId="61">'Div 6'!$H$97:$H$98</definedName>
    <definedName name="OSRRefH25x_0" localSheetId="2">Summary!$H$252:$H$258</definedName>
    <definedName name="OSRRefP13x_0" localSheetId="41">'201'!$P$13</definedName>
    <definedName name="OSRRefP13x_0" localSheetId="42">'202'!$P$13</definedName>
    <definedName name="OSRRefP13x_0" localSheetId="48">'300'!$P$13:$P$74</definedName>
    <definedName name="OSRRefP13x_0" localSheetId="49">'300 &amp; 317'!$P$13:$P$88</definedName>
    <definedName name="OSRRefP13x_0" localSheetId="52">'307'!$P$13:$P$23</definedName>
    <definedName name="OSRRefP13x_0" localSheetId="53">'308'!$P$13:$P$33</definedName>
    <definedName name="OSRRefP13x_0" localSheetId="64">'309'!$P$13</definedName>
    <definedName name="OSRRefP13x_0" localSheetId="63">'310'!$P$13:$P$17</definedName>
    <definedName name="OSRRefP13x_0" localSheetId="71">'310 &amp; 491'!$P$13:$P$21</definedName>
    <definedName name="OSRRefP13x_0" localSheetId="54">'311'!$P$13:$P$32</definedName>
    <definedName name="OSRRefP13x_0" localSheetId="65">'313'!$P$13</definedName>
    <definedName name="OSRRefP13x_0" localSheetId="57">'315'!$P$13:$P$50</definedName>
    <definedName name="OSRRefP13x_0" localSheetId="60">'316'!$P$13:$P$22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'326'!$P$13:$P$31</definedName>
    <definedName name="OSRRefP13x_0" localSheetId="69">'327'!$P$13:$P$14</definedName>
    <definedName name="OSRRefP13x_0" localSheetId="51">'330'!$P$13:$P$23</definedName>
    <definedName name="OSRRefP13x_0" localSheetId="56">'331'!$P$13:$P$50</definedName>
    <definedName name="OSRRefP13x_0" localSheetId="59">'332'!$P$13:$P$22</definedName>
    <definedName name="OSRRefP13x_0" localSheetId="73">'405'!$P$13:$P$14</definedName>
    <definedName name="OSRRefP13x_0" localSheetId="76">'412'!$P$13</definedName>
    <definedName name="OSRRefP13x_0" localSheetId="77">'413'!$P$13:$P$14</definedName>
    <definedName name="OSRRefP13x_0" localSheetId="78">'414'!$P$13:$P$15</definedName>
    <definedName name="OSRRefP13x_0" localSheetId="79">'415'!$P$13:$P$16</definedName>
    <definedName name="OSRRefP13x_0" localSheetId="80">'418'!$P$13:$P$14</definedName>
    <definedName name="OSRRefP13x_0" localSheetId="81">'420'!$P$13</definedName>
    <definedName name="OSRRefP13x_0" localSheetId="88">'433'!$P$13:$P$16</definedName>
    <definedName name="OSRRefP13x_0" localSheetId="90">'444'!$P$13:$P$16</definedName>
    <definedName name="OSRRefP13x_0" localSheetId="91">'450'!$P$13:$P$14</definedName>
    <definedName name="OSRRefP13x_0" localSheetId="72">'491'!$P$13:$P$18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3'!$P$13:$P$76</definedName>
    <definedName name="OSRRefP13x_0" localSheetId="70">'Div 4'!$P$13:$P$20</definedName>
    <definedName name="OSRRefP13x_0" localSheetId="92">'Div 5'!$P$13</definedName>
    <definedName name="OSRRefP13x_0" localSheetId="61">'Div 6'!$P$13:$P$30</definedName>
    <definedName name="OSRRefP13x_0" localSheetId="2">Summary!$P$13:$P$95</definedName>
    <definedName name="OSRRefP16x_0" localSheetId="48">'300'!$P$77:$P$110</definedName>
    <definedName name="OSRRefP16x_0" localSheetId="49">'300 &amp; 317'!$P$91:$P$132</definedName>
    <definedName name="OSRRefP16x_0" localSheetId="52">'307'!$P$26:$P$33</definedName>
    <definedName name="OSRRefP16x_0" localSheetId="53">'308'!$P$36:$P$50</definedName>
    <definedName name="OSRRefP16x_0" localSheetId="64">'309'!$P$16</definedName>
    <definedName name="OSRRefP16x_0" localSheetId="63">'310'!$P$20:$P$22</definedName>
    <definedName name="OSRRefP16x_0" localSheetId="71">'310 &amp; 491'!$P$24:$P$26</definedName>
    <definedName name="OSRRefP16x_0" localSheetId="54">'311'!$P$35:$P$49</definedName>
    <definedName name="OSRRefP16x_0" localSheetId="65">'313'!$P$16:$P$17</definedName>
    <definedName name="OSRRefP16x_0" localSheetId="57">'315'!$P$53:$P$74</definedName>
    <definedName name="OSRRefP16x_0" localSheetId="62">'317'!$P$33:$P$43</definedName>
    <definedName name="OSRRefP16x_0" localSheetId="66">'321'!$P$18:$P$19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'326'!$P$34:$P$38</definedName>
    <definedName name="OSRRefP16x_0" localSheetId="69">'327'!$P$17:$P$18</definedName>
    <definedName name="OSRRefP16x_0" localSheetId="51">'330'!$P$26:$P$33</definedName>
    <definedName name="OSRRefP16x_0" localSheetId="56">'331'!$P$53:$P$74</definedName>
    <definedName name="OSRRefP16x_0" localSheetId="73">'405'!$P$17</definedName>
    <definedName name="OSRRefP16x_0" localSheetId="76">'412'!$P$16</definedName>
    <definedName name="OSRRefP16x_0" localSheetId="77">'413'!$P$17</definedName>
    <definedName name="OSRRefP16x_0" localSheetId="78">'414'!$P$18</definedName>
    <definedName name="OSRRefP16x_0" localSheetId="79">'415'!$P$19:$P$21</definedName>
    <definedName name="OSRRefP16x_0" localSheetId="80">'418'!$P$17</definedName>
    <definedName name="OSRRefP16x_0" localSheetId="88">'433'!$P$19:$P$21</definedName>
    <definedName name="OSRRefP16x_0" localSheetId="90">'444'!$P$19:$P$21</definedName>
    <definedName name="OSRRefP16x_0" localSheetId="91">'450'!$P$17</definedName>
    <definedName name="OSRRefP16x_0" localSheetId="72">'491'!$P$21:$P$23</definedName>
    <definedName name="OSRRefP16x_0" localSheetId="86">'492'!$P$19:$P$21</definedName>
    <definedName name="OSRRefP16x_0" localSheetId="47">'Div 3'!$P$79:$P$114</definedName>
    <definedName name="OSRRefP16x_0" localSheetId="70">'Div 4'!$P$23:$P$25</definedName>
    <definedName name="OSRRefP16x_0" localSheetId="61">'Div 6'!$P$33:$P$43</definedName>
    <definedName name="OSRRefP16x_0" localSheetId="2">Summary!$P$98:$P$141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'300'!$P$116:$P$125</definedName>
    <definedName name="OSRRefP22_0x_0" localSheetId="49">'300 &amp; 317'!$P$138:$P$147</definedName>
    <definedName name="OSRRefP22_0x_0" localSheetId="50">'301'!$P$20:$P$28</definedName>
    <definedName name="OSRRefP22_0x_0" localSheetId="52">'307'!$P$39:$P$46</definedName>
    <definedName name="OSRRefP22_0x_0" localSheetId="53">'308'!$P$56:$P$65</definedName>
    <definedName name="OSRRefP22_0x_0" localSheetId="64">'309'!$P$22:$P$29</definedName>
    <definedName name="OSRRefP22_0x_0" localSheetId="63">'310'!$P$28:$P$36</definedName>
    <definedName name="OSRRefP22_0x_0" localSheetId="71">'310 &amp; 491'!$P$32:$P$40</definedName>
    <definedName name="OSRRefP22_0x_0" localSheetId="54">'311'!$P$55:$P$64</definedName>
    <definedName name="OSRRefP22_0x_0" localSheetId="65">'313'!$P$23:$P$31</definedName>
    <definedName name="OSRRefP22_0x_0" localSheetId="57">'315'!$P$80:$P$88</definedName>
    <definedName name="OSRRefP22_0x_0" localSheetId="60">'316'!$P$30:$P$38</definedName>
    <definedName name="OSRRefP22_0x_0" localSheetId="62">'317'!$P$49:$P$58</definedName>
    <definedName name="OSRRefP22_0x_0" localSheetId="66">'321'!$P$25:$P$33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'326'!$P$44:$P$52</definedName>
    <definedName name="OSRRefP22_0x_0" localSheetId="69">'327'!$P$24</definedName>
    <definedName name="OSRRefP22_0x_0" localSheetId="51">'330'!$P$39:$P$46</definedName>
    <definedName name="OSRRefP22_0x_0" localSheetId="56">'331'!$P$80:$P$88</definedName>
    <definedName name="OSRRefP22_0x_0" localSheetId="59">'332'!$P$30:$P$38</definedName>
    <definedName name="OSRRefP22_0x_0" localSheetId="73">'405'!$P$23:$P$30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7">'413'!$P$23:$P$31</definedName>
    <definedName name="OSRRefP22_0x_0" localSheetId="78">'414'!$P$24:$P$32</definedName>
    <definedName name="OSRRefP22_0x_0" localSheetId="79">'415'!$P$27:$P$35</definedName>
    <definedName name="OSRRefP22_0x_0" localSheetId="80">'418'!$P$23:$P$30</definedName>
    <definedName name="OSRRefP22_0x_0" localSheetId="81">'420'!$P$21</definedName>
    <definedName name="OSRRefP22_0x_0" localSheetId="82">'423'!$P$20:$P$27</definedName>
    <definedName name="OSRRefP22_0x_0" localSheetId="83">'424'!$P$20</definedName>
    <definedName name="OSRRefP22_0x_0" localSheetId="84">'425'!$P$20:$P$24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'450'!$P$23:$P$32</definedName>
    <definedName name="OSRRefP22_0x_0" localSheetId="72">'491'!$P$29:$P$37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3'!$P$120:$P$129</definedName>
    <definedName name="OSRRefP22_0x_0" localSheetId="70">'Div 4'!$P$31:$P$40</definedName>
    <definedName name="OSRRefP22_0x_0" localSheetId="92">'Div 5'!$P$21:$P$30</definedName>
    <definedName name="OSRRefP22_0x_0" localSheetId="61">'Div 6'!$P$49:$P$58</definedName>
    <definedName name="OSRRefP22_0x_0" localSheetId="2">Summary!$P$147:$P$156</definedName>
    <definedName name="OSRRefP22_10x_0" localSheetId="41">'201'!$P$58:$P$60</definedName>
    <definedName name="OSRRefP22_10x_0" localSheetId="42">'202'!$P$62</definedName>
    <definedName name="OSRRefP22_10x_0" localSheetId="43">'203'!$P$62</definedName>
    <definedName name="OSRRefP22_10x_0" localSheetId="44">'204'!$P$62:$P$63</definedName>
    <definedName name="OSRRefP22_10x_0" localSheetId="48">'300'!$P$158:$P$159</definedName>
    <definedName name="OSRRefP22_10x_0" localSheetId="49">'300 &amp; 317'!$P$180:$P$181</definedName>
    <definedName name="OSRRefP22_10x_0" localSheetId="50">'301'!$P$59</definedName>
    <definedName name="OSRRefP22_10x_0" localSheetId="52">'307'!$P$77:$P$78</definedName>
    <definedName name="OSRRefP22_10x_0" localSheetId="53">'308'!$P$96</definedName>
    <definedName name="OSRRefP22_10x_0" localSheetId="63">'310'!$P$66</definedName>
    <definedName name="OSRRefP22_10x_0" localSheetId="71">'310 &amp; 491'!$P$72</definedName>
    <definedName name="OSRRefP22_10x_0" localSheetId="54">'311'!$P$95</definedName>
    <definedName name="OSRRefP22_10x_0" localSheetId="65">'313'!$P$64</definedName>
    <definedName name="OSRRefP22_10x_0" localSheetId="57">'315'!$P$118</definedName>
    <definedName name="OSRRefP22_10x_0" localSheetId="60">'316'!$P$73</definedName>
    <definedName name="OSRRefP22_10x_0" localSheetId="62">'317'!$P$88:$P$90</definedName>
    <definedName name="OSRRefP22_10x_0" localSheetId="66">'321'!$P$65:$P$67</definedName>
    <definedName name="OSRRefP22_10x_0" localSheetId="67">'322'!$P$64</definedName>
    <definedName name="OSRRefP22_10x_0" localSheetId="68">'325'!$P$62:$P$65</definedName>
    <definedName name="OSRRefP22_10x_0" localSheetId="58">'326'!$P$82</definedName>
    <definedName name="OSRRefP22_10x_0" localSheetId="51">'330'!$P$77:$P$78</definedName>
    <definedName name="OSRRefP22_10x_0" localSheetId="56">'331'!$P$119</definedName>
    <definedName name="OSRRefP22_10x_0" localSheetId="59">'332'!$P$73</definedName>
    <definedName name="OSRRefP22_10x_0" localSheetId="73">'405'!$P$61:$P$64</definedName>
    <definedName name="OSRRefP22_10x_0" localSheetId="75">'411'!$P$59:$P$62</definedName>
    <definedName name="OSRRefP22_10x_0" localSheetId="76">'412'!$P$60:$P$63</definedName>
    <definedName name="OSRRefP22_10x_0" localSheetId="77">'413'!$P$63:$P$70</definedName>
    <definedName name="OSRRefP22_10x_0" localSheetId="78">'414'!$P$62</definedName>
    <definedName name="OSRRefP22_10x_0" localSheetId="79">'415'!$P$65:$P$66</definedName>
    <definedName name="OSRRefP22_10x_0" localSheetId="80">'418'!$P$63</definedName>
    <definedName name="OSRRefP22_10x_0" localSheetId="88">'433'!$P$65</definedName>
    <definedName name="OSRRefP22_10x_0" localSheetId="90">'444'!$P$65</definedName>
    <definedName name="OSRRefP22_10x_0" localSheetId="91">'450'!$P$61</definedName>
    <definedName name="OSRRefP22_10x_0" localSheetId="72">'491'!$P$68</definedName>
    <definedName name="OSRRefP22_10x_0" localSheetId="86">'492'!$P$65</definedName>
    <definedName name="OSRRefP22_10x_0" localSheetId="93">'501'!$P$63:$P$64</definedName>
    <definedName name="OSRRefP22_10x_0" localSheetId="39">'Div 2'!$P$62</definedName>
    <definedName name="OSRRefP22_10x_0" localSheetId="47">'Div 3'!$P$162:$P$163</definedName>
    <definedName name="OSRRefP22_10x_0" localSheetId="70">'Div 4'!$P$71</definedName>
    <definedName name="OSRRefP22_10x_0" localSheetId="92">'Div 5'!$P$63:$P$64</definedName>
    <definedName name="OSRRefP22_10x_0" localSheetId="61">'Div 6'!$P$88:$P$90</definedName>
    <definedName name="OSRRefP22_10x_0" localSheetId="2">Summary!$P$190:$P$191</definedName>
    <definedName name="OSRRefP22_11x_0" localSheetId="41">'201'!$P$62</definedName>
    <definedName name="OSRRefP22_11x_0" localSheetId="42">'202'!$P$64</definedName>
    <definedName name="OSRRefP22_11x_0" localSheetId="43">'203'!$P$64:$P$66</definedName>
    <definedName name="OSRRefP22_11x_0" localSheetId="44">'204'!$P$65</definedName>
    <definedName name="OSRRefP22_11x_0" localSheetId="48">'300'!$P$161:$P$163</definedName>
    <definedName name="OSRRefP22_11x_0" localSheetId="49">'300 &amp; 317'!$P$183:$P$185</definedName>
    <definedName name="OSRRefP22_11x_0" localSheetId="50">'301'!$P$61</definedName>
    <definedName name="OSRRefP22_11x_0" localSheetId="52">'307'!$P$80:$P$83</definedName>
    <definedName name="OSRRefP22_11x_0" localSheetId="53">'308'!$P$98:$P$100</definedName>
    <definedName name="OSRRefP22_11x_0" localSheetId="63">'310'!$P$68</definedName>
    <definedName name="OSRRefP22_11x_0" localSheetId="71">'310 &amp; 491'!$P$74</definedName>
    <definedName name="OSRRefP22_11x_0" localSheetId="54">'311'!$P$97:$P$99</definedName>
    <definedName name="OSRRefP22_11x_0" localSheetId="65">'313'!$P$66</definedName>
    <definedName name="OSRRefP22_11x_0" localSheetId="57">'315'!$P$120</definedName>
    <definedName name="OSRRefP22_11x_0" localSheetId="60">'316'!$P$75</definedName>
    <definedName name="OSRRefP22_11x_0" localSheetId="62">'317'!$P$92</definedName>
    <definedName name="OSRRefP22_11x_0" localSheetId="66">'321'!$P$69:$P$70</definedName>
    <definedName name="OSRRefP22_11x_0" localSheetId="67">'322'!$P$66</definedName>
    <definedName name="OSRRefP22_11x_0" localSheetId="68">'325'!$P$67:$P$69</definedName>
    <definedName name="OSRRefP22_11x_0" localSheetId="58">'326'!$P$84</definedName>
    <definedName name="OSRRefP22_11x_0" localSheetId="51">'330'!$P$80:$P$83</definedName>
    <definedName name="OSRRefP22_11x_0" localSheetId="56">'331'!$P$121</definedName>
    <definedName name="OSRRefP22_11x_0" localSheetId="59">'332'!$P$75</definedName>
    <definedName name="OSRRefP22_11x_0" localSheetId="73">'405'!$P$66</definedName>
    <definedName name="OSRRefP22_11x_0" localSheetId="75">'411'!$P$64:$P$70</definedName>
    <definedName name="OSRRefP22_11x_0" localSheetId="76">'412'!$P$65:$P$69</definedName>
    <definedName name="OSRRefP22_11x_0" localSheetId="77">'413'!$P$72:$P$73</definedName>
    <definedName name="OSRRefP22_11x_0" localSheetId="78">'414'!$P$64</definedName>
    <definedName name="OSRRefP22_11x_0" localSheetId="79">'415'!$P$68:$P$72</definedName>
    <definedName name="OSRRefP22_11x_0" localSheetId="80">'418'!$P$65:$P$74</definedName>
    <definedName name="OSRRefP22_11x_0" localSheetId="88">'433'!$P$67:$P$68</definedName>
    <definedName name="OSRRefP22_11x_0" localSheetId="90">'444'!$P$67:$P$70</definedName>
    <definedName name="OSRRefP22_11x_0" localSheetId="91">'450'!$P$63</definedName>
    <definedName name="OSRRefP22_11x_0" localSheetId="72">'491'!$P$70</definedName>
    <definedName name="OSRRefP22_11x_0" localSheetId="86">'492'!$P$67</definedName>
    <definedName name="OSRRefP22_11x_0" localSheetId="93">'501'!$P$66</definedName>
    <definedName name="OSRRefP22_11x_0" localSheetId="39">'Div 2'!$P$64:$P$65</definedName>
    <definedName name="OSRRefP22_11x_0" localSheetId="47">'Div 3'!$P$165:$P$167</definedName>
    <definedName name="OSRRefP22_11x_0" localSheetId="70">'Div 4'!$P$73</definedName>
    <definedName name="OSRRefP22_11x_0" localSheetId="92">'Div 5'!$P$66</definedName>
    <definedName name="OSRRefP22_11x_0" localSheetId="61">'Div 6'!$P$92</definedName>
    <definedName name="OSRRefP22_11x_0" localSheetId="2">Summary!$P$193:$P$195</definedName>
    <definedName name="OSRRefP22_12x_0" localSheetId="41">'201'!$P$64</definedName>
    <definedName name="OSRRefP22_12x_0" localSheetId="42">'202'!$P$66</definedName>
    <definedName name="OSRRefP22_12x_0" localSheetId="43">'203'!$P$68</definedName>
    <definedName name="OSRRefP22_12x_0" localSheetId="48">'300'!$P$165</definedName>
    <definedName name="OSRRefP22_12x_0" localSheetId="49">'300 &amp; 317'!$P$187</definedName>
    <definedName name="OSRRefP22_12x_0" localSheetId="50">'301'!$P$63</definedName>
    <definedName name="OSRRefP22_12x_0" localSheetId="52">'307'!$P$85:$P$86</definedName>
    <definedName name="OSRRefP22_12x_0" localSheetId="53">'308'!$P$102:$P$103</definedName>
    <definedName name="OSRRefP22_12x_0" localSheetId="63">'310'!$P$70:$P$73</definedName>
    <definedName name="OSRRefP22_12x_0" localSheetId="71">'310 &amp; 491'!$P$76</definedName>
    <definedName name="OSRRefP22_12x_0" localSheetId="54">'311'!$P$101:$P$102</definedName>
    <definedName name="OSRRefP22_12x_0" localSheetId="57">'315'!$P$122:$P$124</definedName>
    <definedName name="OSRRefP22_12x_0" localSheetId="62">'317'!$P$94</definedName>
    <definedName name="OSRRefP22_12x_0" localSheetId="66">'321'!$P$72</definedName>
    <definedName name="OSRRefP22_12x_0" localSheetId="68">'325'!$P$71</definedName>
    <definedName name="OSRRefP22_12x_0" localSheetId="58">'326'!$P$86</definedName>
    <definedName name="OSRRefP22_12x_0" localSheetId="51">'330'!$P$85:$P$86</definedName>
    <definedName name="OSRRefP22_12x_0" localSheetId="56">'331'!$P$123</definedName>
    <definedName name="OSRRefP22_12x_0" localSheetId="73">'405'!$P$68:$P$76</definedName>
    <definedName name="OSRRefP22_12x_0" localSheetId="75">'411'!$P$72</definedName>
    <definedName name="OSRRefP22_12x_0" localSheetId="76">'412'!$P$71:$P$72</definedName>
    <definedName name="OSRRefP22_12x_0" localSheetId="77">'413'!$P$75</definedName>
    <definedName name="OSRRefP22_12x_0" localSheetId="78">'414'!$P$66:$P$68</definedName>
    <definedName name="OSRRefP22_12x_0" localSheetId="79">'415'!$P$74</definedName>
    <definedName name="OSRRefP22_12x_0" localSheetId="80">'418'!$P$76:$P$77</definedName>
    <definedName name="OSRRefP22_12x_0" localSheetId="88">'433'!$P$70:$P$73</definedName>
    <definedName name="OSRRefP22_12x_0" localSheetId="90">'444'!$P$72:$P$74</definedName>
    <definedName name="OSRRefP22_12x_0" localSheetId="91">'450'!$P$65</definedName>
    <definedName name="OSRRefP22_12x_0" localSheetId="72">'491'!$P$72</definedName>
    <definedName name="OSRRefP22_12x_0" localSheetId="86">'492'!$P$69:$P$72</definedName>
    <definedName name="OSRRefP22_12x_0" localSheetId="39">'Div 2'!$P$67:$P$70</definedName>
    <definedName name="OSRRefP22_12x_0" localSheetId="47">'Div 3'!$P$169</definedName>
    <definedName name="OSRRefP22_12x_0" localSheetId="70">'Div 4'!$P$75</definedName>
    <definedName name="OSRRefP22_12x_0" localSheetId="61">'Div 6'!$P$94</definedName>
    <definedName name="OSRRefP22_12x_0" localSheetId="2">Summary!$P$197</definedName>
    <definedName name="OSRRefP22_13x_0" localSheetId="41">'201'!$P$66:$P$68</definedName>
    <definedName name="OSRRefP22_13x_0" localSheetId="43">'203'!$P$70</definedName>
    <definedName name="OSRRefP22_13x_0" localSheetId="48">'300'!$P$167</definedName>
    <definedName name="OSRRefP22_13x_0" localSheetId="49">'300 &amp; 317'!$P$189</definedName>
    <definedName name="OSRRefP22_13x_0" localSheetId="50">'301'!$P$65</definedName>
    <definedName name="OSRRefP22_13x_0" localSheetId="52">'307'!$P$88</definedName>
    <definedName name="OSRRefP22_13x_0" localSheetId="53">'308'!$P$105</definedName>
    <definedName name="OSRRefP22_13x_0" localSheetId="63">'310'!$P$75:$P$76</definedName>
    <definedName name="OSRRefP22_13x_0" localSheetId="71">'310 &amp; 491'!$P$78:$P$81</definedName>
    <definedName name="OSRRefP22_13x_0" localSheetId="54">'311'!$P$104</definedName>
    <definedName name="OSRRefP22_13x_0" localSheetId="57">'315'!$P$126:$P$127</definedName>
    <definedName name="OSRRefP22_13x_0" localSheetId="66">'321'!$P$74</definedName>
    <definedName name="OSRRefP22_13x_0" localSheetId="68">'325'!$P$73:$P$77</definedName>
    <definedName name="OSRRefP22_13x_0" localSheetId="58">'326'!$P$88:$P$89</definedName>
    <definedName name="OSRRefP22_13x_0" localSheetId="51">'330'!$P$88</definedName>
    <definedName name="OSRRefP22_13x_0" localSheetId="56">'331'!$P$125</definedName>
    <definedName name="OSRRefP22_13x_0" localSheetId="73">'405'!$P$78</definedName>
    <definedName name="OSRRefP22_13x_0" localSheetId="75">'411'!$P$74</definedName>
    <definedName name="OSRRefP22_13x_0" localSheetId="76">'412'!$P$74</definedName>
    <definedName name="OSRRefP22_13x_0" localSheetId="78">'414'!$P$70</definedName>
    <definedName name="OSRRefP22_13x_0" localSheetId="79">'415'!$P$76:$P$82</definedName>
    <definedName name="OSRRefP22_13x_0" localSheetId="80">'418'!$P$79</definedName>
    <definedName name="OSRRefP22_13x_0" localSheetId="88">'433'!$P$75:$P$82</definedName>
    <definedName name="OSRRefP22_13x_0" localSheetId="90">'444'!$P$76</definedName>
    <definedName name="OSRRefP22_13x_0" localSheetId="91">'450'!$P$67:$P$69</definedName>
    <definedName name="OSRRefP22_13x_0" localSheetId="72">'491'!$P$74:$P$77</definedName>
    <definedName name="OSRRefP22_13x_0" localSheetId="86">'492'!$P$74:$P$77</definedName>
    <definedName name="OSRRefP22_13x_0" localSheetId="39">'Div 2'!$P$72:$P$75</definedName>
    <definedName name="OSRRefP22_13x_0" localSheetId="47">'Div 3'!$P$171</definedName>
    <definedName name="OSRRefP22_13x_0" localSheetId="70">'Div 4'!$P$77</definedName>
    <definedName name="OSRRefP22_13x_0" localSheetId="2">Summary!$P$199</definedName>
    <definedName name="OSRRefP22_14x_0" localSheetId="41">'201'!$P$70</definedName>
    <definedName name="OSRRefP22_14x_0" localSheetId="43">'203'!$P$72</definedName>
    <definedName name="OSRRefP22_14x_0" localSheetId="48">'300'!$P$169</definedName>
    <definedName name="OSRRefP22_14x_0" localSheetId="49">'300 &amp; 317'!$P$191</definedName>
    <definedName name="OSRRefP22_14x_0" localSheetId="50">'301'!$P$67:$P$70</definedName>
    <definedName name="OSRRefP22_14x_0" localSheetId="63">'310'!$P$78:$P$81</definedName>
    <definedName name="OSRRefP22_14x_0" localSheetId="71">'310 &amp; 491'!$P$83:$P$84</definedName>
    <definedName name="OSRRefP22_14x_0" localSheetId="57">'315'!$P$129:$P$135</definedName>
    <definedName name="OSRRefP22_14x_0" localSheetId="68">'325'!$P$79:$P$80</definedName>
    <definedName name="OSRRefP22_14x_0" localSheetId="58">'326'!$P$91:$P$93</definedName>
    <definedName name="OSRRefP22_14x_0" localSheetId="56">'331'!$P$127:$P$128</definedName>
    <definedName name="OSRRefP22_14x_0" localSheetId="73">'405'!$P$80</definedName>
    <definedName name="OSRRefP22_14x_0" localSheetId="75">'411'!$P$76</definedName>
    <definedName name="OSRRefP22_14x_0" localSheetId="78">'414'!$P$72</definedName>
    <definedName name="OSRRefP22_14x_0" localSheetId="79">'415'!$P$84:$P$85</definedName>
    <definedName name="OSRRefP22_14x_0" localSheetId="88">'433'!$P$84</definedName>
    <definedName name="OSRRefP22_14x_0" localSheetId="90">'444'!$P$78:$P$86</definedName>
    <definedName name="OSRRefP22_14x_0" localSheetId="91">'450'!$P$71:$P$77</definedName>
    <definedName name="OSRRefP22_14x_0" localSheetId="72">'491'!$P$79:$P$80</definedName>
    <definedName name="OSRRefP22_14x_0" localSheetId="86">'492'!$P$79</definedName>
    <definedName name="OSRRefP22_14x_0" localSheetId="39">'Div 2'!$P$77:$P$78</definedName>
    <definedName name="OSRRefP22_14x_0" localSheetId="47">'Div 3'!$P$173</definedName>
    <definedName name="OSRRefP22_14x_0" localSheetId="70">'Div 4'!$P$79</definedName>
    <definedName name="OSRRefP22_14x_0" localSheetId="2">Summary!$P$201</definedName>
    <definedName name="OSRRefP22_15x_0" localSheetId="41">'201'!$P$72</definedName>
    <definedName name="OSRRefP22_15x_0" localSheetId="48">'300'!$P$171</definedName>
    <definedName name="OSRRefP22_15x_0" localSheetId="49">'300 &amp; 317'!$P$193</definedName>
    <definedName name="OSRRefP22_15x_0" localSheetId="50">'301'!$P$72:$P$74</definedName>
    <definedName name="OSRRefP22_15x_0" localSheetId="63">'310'!$P$83</definedName>
    <definedName name="OSRRefP22_15x_0" localSheetId="71">'310 &amp; 491'!$P$86:$P$90</definedName>
    <definedName name="OSRRefP22_15x_0" localSheetId="57">'315'!$P$137</definedName>
    <definedName name="OSRRefP22_15x_0" localSheetId="68">'325'!$P$82</definedName>
    <definedName name="OSRRefP22_15x_0" localSheetId="58">'326'!$P$95:$P$96</definedName>
    <definedName name="OSRRefP22_15x_0" localSheetId="56">'331'!$P$130:$P$132</definedName>
    <definedName name="OSRRefP22_15x_0" localSheetId="73">'405'!$P$82</definedName>
    <definedName name="OSRRefP22_15x_0" localSheetId="78">'414'!$P$74</definedName>
    <definedName name="OSRRefP22_15x_0" localSheetId="79">'415'!$P$87</definedName>
    <definedName name="OSRRefP22_15x_0" localSheetId="90">'444'!$P$88:$P$89</definedName>
    <definedName name="OSRRefP22_15x_0" localSheetId="91">'450'!$P$79:$P$80</definedName>
    <definedName name="OSRRefP22_15x_0" localSheetId="72">'491'!$P$82:$P$86</definedName>
    <definedName name="OSRRefP22_15x_0" localSheetId="86">'492'!$P$81:$P$90</definedName>
    <definedName name="OSRRefP22_15x_0" localSheetId="39">'Div 2'!$P$80:$P$81</definedName>
    <definedName name="OSRRefP22_15x_0" localSheetId="47">'Div 3'!$P$175</definedName>
    <definedName name="OSRRefP22_15x_0" localSheetId="70">'Div 4'!$P$81:$P$84</definedName>
    <definedName name="OSRRefP22_15x_0" localSheetId="2">Summary!$P$203</definedName>
    <definedName name="OSRRefP22_16x_0" localSheetId="41">'201'!$P$74</definedName>
    <definedName name="OSRRefP22_16x_0" localSheetId="48">'300'!$P$173:$P$176</definedName>
    <definedName name="OSRRefP22_16x_0" localSheetId="49">'300 &amp; 317'!$P$195:$P$198</definedName>
    <definedName name="OSRRefP22_16x_0" localSheetId="50">'301'!$P$76</definedName>
    <definedName name="OSRRefP22_16x_0" localSheetId="63">'310'!$P$85:$P$91</definedName>
    <definedName name="OSRRefP22_16x_0" localSheetId="71">'310 &amp; 491'!$P$92</definedName>
    <definedName name="OSRRefP22_16x_0" localSheetId="57">'315'!$P$139:$P$140</definedName>
    <definedName name="OSRRefP22_16x_0" localSheetId="68">'325'!$P$84</definedName>
    <definedName name="OSRRefP22_16x_0" localSheetId="58">'326'!$P$98:$P$103</definedName>
    <definedName name="OSRRefP22_16x_0" localSheetId="56">'331'!$P$134:$P$136</definedName>
    <definedName name="OSRRefP22_16x_0" localSheetId="79">'415'!$P$89:$P$90</definedName>
    <definedName name="OSRRefP22_16x_0" localSheetId="90">'444'!$P$91</definedName>
    <definedName name="OSRRefP22_16x_0" localSheetId="91">'450'!$P$82</definedName>
    <definedName name="OSRRefP22_16x_0" localSheetId="72">'491'!$P$88</definedName>
    <definedName name="OSRRefP22_16x_0" localSheetId="86">'492'!$P$92:$P$93</definedName>
    <definedName name="OSRRefP22_16x_0" localSheetId="39">'Div 2'!$P$83:$P$87</definedName>
    <definedName name="OSRRefP22_16x_0" localSheetId="47">'Div 3'!$P$177</definedName>
    <definedName name="OSRRefP22_16x_0" localSheetId="70">'Div 4'!$P$86:$P$87</definedName>
    <definedName name="OSRRefP22_16x_0" localSheetId="2">Summary!$P$205</definedName>
    <definedName name="OSRRefP22_17x_0" localSheetId="48">'300'!$P$178:$P$181</definedName>
    <definedName name="OSRRefP22_17x_0" localSheetId="49">'300 &amp; 317'!$P$200:$P$203</definedName>
    <definedName name="OSRRefP22_17x_0" localSheetId="50">'301'!$P$78:$P$84</definedName>
    <definedName name="OSRRefP22_17x_0" localSheetId="63">'310'!$P$93:$P$94</definedName>
    <definedName name="OSRRefP22_17x_0" localSheetId="71">'310 &amp; 491'!$P$94:$P$104</definedName>
    <definedName name="OSRRefP22_17x_0" localSheetId="58">'326'!$P$105:$P$106</definedName>
    <definedName name="OSRRefP22_17x_0" localSheetId="56">'331'!$P$138:$P$139</definedName>
    <definedName name="OSRRefP22_17x_0" localSheetId="79">'415'!$P$92</definedName>
    <definedName name="OSRRefP22_17x_0" localSheetId="72">'491'!$P$90:$P$100</definedName>
    <definedName name="OSRRefP22_17x_0" localSheetId="86">'492'!$P$95</definedName>
    <definedName name="OSRRefP22_17x_0" localSheetId="39">'Div 2'!$P$89:$P$90</definedName>
    <definedName name="OSRRefP22_17x_0" localSheetId="47">'Div 3'!$P$179:$P$182</definedName>
    <definedName name="OSRRefP22_17x_0" localSheetId="70">'Div 4'!$P$89:$P$93</definedName>
    <definedName name="OSRRefP22_17x_0" localSheetId="2">Summary!$P$207</definedName>
    <definedName name="OSRRefP22_18x_0" localSheetId="48">'300'!$P$183:$P$186</definedName>
    <definedName name="OSRRefP22_18x_0" localSheetId="49">'300 &amp; 317'!$P$205:$P$208</definedName>
    <definedName name="OSRRefP22_18x_0" localSheetId="50">'301'!$P$86</definedName>
    <definedName name="OSRRefP22_18x_0" localSheetId="63">'310'!$P$96</definedName>
    <definedName name="OSRRefP22_18x_0" localSheetId="71">'310 &amp; 491'!$P$106:$P$107</definedName>
    <definedName name="OSRRefP22_18x_0" localSheetId="58">'326'!$P$108</definedName>
    <definedName name="OSRRefP22_18x_0" localSheetId="56">'331'!$P$141:$P$148</definedName>
    <definedName name="OSRRefP22_18x_0" localSheetId="72">'491'!$P$102:$P$103</definedName>
    <definedName name="OSRRefP22_18x_0" localSheetId="86">'492'!$P$97</definedName>
    <definedName name="OSRRefP22_18x_0" localSheetId="39">'Div 2'!$P$92</definedName>
    <definedName name="OSRRefP22_18x_0" localSheetId="47">'Div 3'!$P$184:$P$187</definedName>
    <definedName name="OSRRefP22_18x_0" localSheetId="70">'Div 4'!$P$95:$P$96</definedName>
    <definedName name="OSRRefP22_18x_0" localSheetId="2">Summary!$P$209:$P$212</definedName>
    <definedName name="OSRRefP22_19x_0" localSheetId="48">'300'!$P$188:$P$189</definedName>
    <definedName name="OSRRefP22_19x_0" localSheetId="49">'300 &amp; 317'!$P$210:$P$211</definedName>
    <definedName name="OSRRefP22_19x_0" localSheetId="50">'301'!$P$88</definedName>
    <definedName name="OSRRefP22_19x_0" localSheetId="63">'310'!$P$98</definedName>
    <definedName name="OSRRefP22_19x_0" localSheetId="71">'310 &amp; 491'!$P$109</definedName>
    <definedName name="OSRRefP22_19x_0" localSheetId="58">'326'!$P$110:$P$111</definedName>
    <definedName name="OSRRefP22_19x_0" localSheetId="56">'331'!$P$150:$P$151</definedName>
    <definedName name="OSRRefP22_19x_0" localSheetId="72">'491'!$P$105</definedName>
    <definedName name="OSRRefP22_19x_0" localSheetId="39">'Div 2'!$P$94:$P$95</definedName>
    <definedName name="OSRRefP22_19x_0" localSheetId="47">'Div 3'!$P$189:$P$193</definedName>
    <definedName name="OSRRefP22_19x_0" localSheetId="70">'Div 4'!$P$98:$P$108</definedName>
    <definedName name="OSRRefP22_19x_0" localSheetId="2">Summary!$P$214:$P$217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'300'!$P$127:$P$136</definedName>
    <definedName name="OSRRefP22_1x_0" localSheetId="49">'300 &amp; 317'!$P$149:$P$158</definedName>
    <definedName name="OSRRefP22_1x_0" localSheetId="50">'301'!$P$30:$P$39</definedName>
    <definedName name="OSRRefP22_1x_0" localSheetId="52">'307'!$P$48:$P$57</definedName>
    <definedName name="OSRRefP22_1x_0" localSheetId="53">'308'!$P$67:$P$76</definedName>
    <definedName name="OSRRefP22_1x_0" localSheetId="64">'309'!$P$31:$P$40</definedName>
    <definedName name="OSRRefP22_1x_0" localSheetId="63">'310'!$P$38:$P$47</definedName>
    <definedName name="OSRRefP22_1x_0" localSheetId="71">'310 &amp; 491'!$P$42:$P$51</definedName>
    <definedName name="OSRRefP22_1x_0" localSheetId="54">'311'!$P$66:$P$75</definedName>
    <definedName name="OSRRefP22_1x_0" localSheetId="65">'313'!$P$33:$P$42</definedName>
    <definedName name="OSRRefP22_1x_0" localSheetId="57">'315'!$P$90:$P$99</definedName>
    <definedName name="OSRRefP22_1x_0" localSheetId="60">'316'!$P$40:$P$49</definedName>
    <definedName name="OSRRefP22_1x_0" localSheetId="62">'317'!$P$60:$P$69</definedName>
    <definedName name="OSRRefP22_1x_0" localSheetId="66">'321'!$P$35:$P$44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'326'!$P$54:$P$63</definedName>
    <definedName name="OSRRefP22_1x_0" localSheetId="51">'330'!$P$48:$P$57</definedName>
    <definedName name="OSRRefP22_1x_0" localSheetId="56">'331'!$P$90:$P$99</definedName>
    <definedName name="OSRRefP22_1x_0" localSheetId="59">'332'!$P$40:$P$49</definedName>
    <definedName name="OSRRefP22_1x_0" localSheetId="73">'405'!$P$32:$P$41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7">'413'!$P$33:$P$42</definedName>
    <definedName name="OSRRefP22_1x_0" localSheetId="78">'414'!$P$34:$P$43</definedName>
    <definedName name="OSRRefP22_1x_0" localSheetId="79">'415'!$P$37:$P$46</definedName>
    <definedName name="OSRRefP22_1x_0" localSheetId="80">'418'!$P$32:$P$41</definedName>
    <definedName name="OSRRefP22_1x_0" localSheetId="82">'423'!$P$29:$P$38</definedName>
    <definedName name="OSRRefP22_1x_0" localSheetId="83">'424'!$P$22</definedName>
    <definedName name="OSRRefP22_1x_0" localSheetId="84">'425'!$P$26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'450'!$P$34:$P$43</definedName>
    <definedName name="OSRRefP22_1x_0" localSheetId="72">'491'!$P$39:$P$48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3'!$P$131:$P$140</definedName>
    <definedName name="OSRRefP22_1x_0" localSheetId="70">'Div 4'!$P$42:$P$51</definedName>
    <definedName name="OSRRefP22_1x_0" localSheetId="92">'Div 5'!$P$32:$P$41</definedName>
    <definedName name="OSRRefP22_1x_0" localSheetId="61">'Div 6'!$P$60:$P$69</definedName>
    <definedName name="OSRRefP22_1x_0" localSheetId="2">Summary!$P$158:$P$167</definedName>
    <definedName name="OSRRefP22_20x_0" localSheetId="48">'300'!$P$191:$P$199</definedName>
    <definedName name="OSRRefP22_20x_0" localSheetId="49">'300 &amp; 317'!$P$213:$P$221</definedName>
    <definedName name="OSRRefP22_20x_0" localSheetId="50">'301'!$P$90:$P$91</definedName>
    <definedName name="OSRRefP22_20x_0" localSheetId="63">'310'!$P$100</definedName>
    <definedName name="OSRRefP22_20x_0" localSheetId="71">'310 &amp; 491'!$P$111:$P$113</definedName>
    <definedName name="OSRRefP22_20x_0" localSheetId="58">'326'!$P$113</definedName>
    <definedName name="OSRRefP22_20x_0" localSheetId="56">'331'!$P$153</definedName>
    <definedName name="OSRRefP22_20x_0" localSheetId="72">'491'!$P$107:$P$109</definedName>
    <definedName name="OSRRefP22_20x_0" localSheetId="47">'Div 3'!$P$195:$P$196</definedName>
    <definedName name="OSRRefP22_20x_0" localSheetId="70">'Div 4'!$P$110:$P$111</definedName>
    <definedName name="OSRRefP22_20x_0" localSheetId="2">Summary!$P$219:$P$223</definedName>
    <definedName name="OSRRefP22_21x_0" localSheetId="48">'300'!$P$201:$P$202</definedName>
    <definedName name="OSRRefP22_21x_0" localSheetId="49">'300 &amp; 317'!$P$223:$P$224</definedName>
    <definedName name="OSRRefP22_21x_0" localSheetId="50">'301'!$P$93</definedName>
    <definedName name="OSRRefP22_21x_0" localSheetId="71">'310 &amp; 491'!$P$115</definedName>
    <definedName name="OSRRefP22_21x_0" localSheetId="56">'331'!$P$155:$P$156</definedName>
    <definedName name="OSRRefP22_21x_0" localSheetId="72">'491'!$P$111</definedName>
    <definedName name="OSRRefP22_21x_0" localSheetId="47">'Div 3'!$P$198:$P$206</definedName>
    <definedName name="OSRRefP22_21x_0" localSheetId="70">'Div 4'!$P$113</definedName>
    <definedName name="OSRRefP22_21x_0" localSheetId="2">Summary!$P$225:$P$226</definedName>
    <definedName name="OSRRefP22_22x_0" localSheetId="48">'300'!$P$204</definedName>
    <definedName name="OSRRefP22_22x_0" localSheetId="49">'300 &amp; 317'!$P$226</definedName>
    <definedName name="OSRRefP22_22x_0" localSheetId="56">'331'!$P$158</definedName>
    <definedName name="OSRRefP22_22x_0" localSheetId="47">'Div 3'!$P$208:$P$209</definedName>
    <definedName name="OSRRefP22_22x_0" localSheetId="70">'Div 4'!$P$115:$P$117</definedName>
    <definedName name="OSRRefP22_22x_0" localSheetId="2">Summary!$P$228:$P$238</definedName>
    <definedName name="OSRRefP22_23x_0" localSheetId="48">'300'!$P$206:$P$208</definedName>
    <definedName name="OSRRefP22_23x_0" localSheetId="49">'300 &amp; 317'!$P$228:$P$230</definedName>
    <definedName name="OSRRefP22_23x_0" localSheetId="47">'Div 3'!$P$211</definedName>
    <definedName name="OSRRefP22_23x_0" localSheetId="70">'Div 4'!$P$119</definedName>
    <definedName name="OSRRefP22_23x_0" localSheetId="2">Summary!$P$240:$P$241</definedName>
    <definedName name="OSRRefP22_24x_0" localSheetId="48">'300'!$P$210</definedName>
    <definedName name="OSRRefP22_24x_0" localSheetId="49">'300 &amp; 317'!$P$232</definedName>
    <definedName name="OSRRefP22_24x_0" localSheetId="47">'Div 3'!$P$213:$P$215</definedName>
    <definedName name="OSRRefP22_24x_0" localSheetId="2">Summary!$P$243</definedName>
    <definedName name="OSRRefP22_25x_0" localSheetId="47">'Div 3'!$P$217</definedName>
    <definedName name="OSRRefP22_25x_0" localSheetId="2">Summary!$P$245:$P$247</definedName>
    <definedName name="OSRRefP22_26x_0" localSheetId="2">Summary!$P$249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'300'!$P$138</definedName>
    <definedName name="OSRRefP22_2x_0" localSheetId="49">'300 &amp; 317'!$P$160</definedName>
    <definedName name="OSRRefP22_2x_0" localSheetId="50">'301'!$P$41</definedName>
    <definedName name="OSRRefP22_2x_0" localSheetId="52">'307'!$P$59</definedName>
    <definedName name="OSRRefP22_2x_0" localSheetId="53">'308'!$P$78</definedName>
    <definedName name="OSRRefP22_2x_0" localSheetId="64">'309'!$P$42</definedName>
    <definedName name="OSRRefP22_2x_0" localSheetId="63">'310'!$P$49</definedName>
    <definedName name="OSRRefP22_2x_0" localSheetId="71">'310 &amp; 491'!$P$53</definedName>
    <definedName name="OSRRefP22_2x_0" localSheetId="54">'311'!$P$77</definedName>
    <definedName name="OSRRefP22_2x_0" localSheetId="65">'313'!$P$44</definedName>
    <definedName name="OSRRefP22_2x_0" localSheetId="57">'315'!$P$101</definedName>
    <definedName name="OSRRefP22_2x_0" localSheetId="60">'316'!$P$51</definedName>
    <definedName name="OSRRefP22_2x_0" localSheetId="62">'317'!$P$71</definedName>
    <definedName name="OSRRefP22_2x_0" localSheetId="66">'321'!$P$46</definedName>
    <definedName name="OSRRefP22_2x_0" localSheetId="67">'322'!$P$43</definedName>
    <definedName name="OSRRefP22_2x_0" localSheetId="68">'325'!$P$45</definedName>
    <definedName name="OSRRefP22_2x_0" localSheetId="58">'326'!$P$65</definedName>
    <definedName name="OSRRefP22_2x_0" localSheetId="51">'330'!$P$59</definedName>
    <definedName name="OSRRefP22_2x_0" localSheetId="56">'331'!$P$101</definedName>
    <definedName name="OSRRefP22_2x_0" localSheetId="59">'332'!$P$51</definedName>
    <definedName name="OSRRefP22_2x_0" localSheetId="73">'405'!$P$43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7">'413'!$P$44</definedName>
    <definedName name="OSRRefP22_2x_0" localSheetId="78">'414'!$P$45</definedName>
    <definedName name="OSRRefP22_2x_0" localSheetId="79">'415'!$P$48</definedName>
    <definedName name="OSRRefP22_2x_0" localSheetId="80">'418'!$P$43</definedName>
    <definedName name="OSRRefP22_2x_0" localSheetId="82">'423'!$P$40</definedName>
    <definedName name="OSRRefP22_2x_0" localSheetId="83">'424'!$P$24</definedName>
    <definedName name="OSRRefP22_2x_0" localSheetId="84">'425'!$P$28</definedName>
    <definedName name="OSRRefP22_2x_0" localSheetId="87">'430'!$P$41</definedName>
    <definedName name="OSRRefP22_2x_0" localSheetId="88">'433'!$P$49</definedName>
    <definedName name="OSRRefP22_2x_0" localSheetId="90">'444'!$P$49</definedName>
    <definedName name="OSRRefP22_2x_0" localSheetId="91">'450'!$P$45</definedName>
    <definedName name="OSRRefP22_2x_0" localSheetId="72">'491'!$P$50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3'!$P$142</definedName>
    <definedName name="OSRRefP22_2x_0" localSheetId="70">'Div 4'!$P$53</definedName>
    <definedName name="OSRRefP22_2x_0" localSheetId="92">'Div 5'!$P$43</definedName>
    <definedName name="OSRRefP22_2x_0" localSheetId="61">'Div 6'!$P$71</definedName>
    <definedName name="OSRRefP22_2x_0" localSheetId="2">Summary!$P$169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'300'!$P$140:$P$141</definedName>
    <definedName name="OSRRefP22_3x_0" localSheetId="49">'300 &amp; 317'!$P$162:$P$163</definedName>
    <definedName name="OSRRefP22_3x_0" localSheetId="50">'301'!$P$43:$P$44</definedName>
    <definedName name="OSRRefP22_3x_0" localSheetId="52">'307'!$P$61</definedName>
    <definedName name="OSRRefP22_3x_0" localSheetId="53">'308'!$P$80</definedName>
    <definedName name="OSRRefP22_3x_0" localSheetId="64">'309'!$P$44</definedName>
    <definedName name="OSRRefP22_3x_0" localSheetId="63">'310'!$P$51</definedName>
    <definedName name="OSRRefP22_3x_0" localSheetId="71">'310 &amp; 491'!$P$55</definedName>
    <definedName name="OSRRefP22_3x_0" localSheetId="54">'311'!$P$79</definedName>
    <definedName name="OSRRefP22_3x_0" localSheetId="65">'313'!$P$46</definedName>
    <definedName name="OSRRefP22_3x_0" localSheetId="57">'315'!$P$103</definedName>
    <definedName name="OSRRefP22_3x_0" localSheetId="60">'316'!$P$53</definedName>
    <definedName name="OSRRefP22_3x_0" localSheetId="62">'317'!$P$73</definedName>
    <definedName name="OSRRefP22_3x_0" localSheetId="66">'321'!$P$48</definedName>
    <definedName name="OSRRefP22_3x_0" localSheetId="67">'322'!$P$45</definedName>
    <definedName name="OSRRefP22_3x_0" localSheetId="68">'325'!$P$47</definedName>
    <definedName name="OSRRefP22_3x_0" localSheetId="58">'326'!$P$67</definedName>
    <definedName name="OSRRefP22_3x_0" localSheetId="51">'330'!$P$61</definedName>
    <definedName name="OSRRefP22_3x_0" localSheetId="56">'331'!$P$103</definedName>
    <definedName name="OSRRefP22_3x_0" localSheetId="59">'332'!$P$53</definedName>
    <definedName name="OSRRefP22_3x_0" localSheetId="73">'405'!$P$45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7">'413'!$P$46</definedName>
    <definedName name="OSRRefP22_3x_0" localSheetId="78">'414'!$P$47</definedName>
    <definedName name="OSRRefP22_3x_0" localSheetId="79">'415'!$P$50</definedName>
    <definedName name="OSRRefP22_3x_0" localSheetId="80">'418'!$P$45</definedName>
    <definedName name="OSRRefP22_3x_0" localSheetId="82">'423'!$P$42:$P$43</definedName>
    <definedName name="OSRRefP22_3x_0" localSheetId="83">'424'!$P$26</definedName>
    <definedName name="OSRRefP22_3x_0" localSheetId="84">'425'!$P$30</definedName>
    <definedName name="OSRRefP22_3x_0" localSheetId="87">'430'!$P$43:$P$45</definedName>
    <definedName name="OSRRefP22_3x_0" localSheetId="88">'433'!$P$51</definedName>
    <definedName name="OSRRefP22_3x_0" localSheetId="90">'444'!$P$51</definedName>
    <definedName name="OSRRefP22_3x_0" localSheetId="91">'450'!$P$47</definedName>
    <definedName name="OSRRefP22_3x_0" localSheetId="72">'491'!$P$52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3'!$P$144:$P$145</definedName>
    <definedName name="OSRRefP22_3x_0" localSheetId="70">'Div 4'!$P$55</definedName>
    <definedName name="OSRRefP22_3x_0" localSheetId="92">'Div 5'!$P$45</definedName>
    <definedName name="OSRRefP22_3x_0" localSheetId="61">'Div 6'!$P$73</definedName>
    <definedName name="OSRRefP22_3x_0" localSheetId="2">Summary!$P$171:$P$172</definedName>
    <definedName name="OSRRefP22_4x_0" localSheetId="40">'200'!$P$28:$P$29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'300'!$P$143</definedName>
    <definedName name="OSRRefP22_4x_0" localSheetId="49">'300 &amp; 317'!$P$165</definedName>
    <definedName name="OSRRefP22_4x_0" localSheetId="50">'301'!$P$46</definedName>
    <definedName name="OSRRefP22_4x_0" localSheetId="52">'307'!$P$63</definedName>
    <definedName name="OSRRefP22_4x_0" localSheetId="53">'308'!$P$82</definedName>
    <definedName name="OSRRefP22_4x_0" localSheetId="64">'309'!$P$46</definedName>
    <definedName name="OSRRefP22_4x_0" localSheetId="63">'310'!$P$53</definedName>
    <definedName name="OSRRefP22_4x_0" localSheetId="71">'310 &amp; 491'!$P$57</definedName>
    <definedName name="OSRRefP22_4x_0" localSheetId="54">'311'!$P$81</definedName>
    <definedName name="OSRRefP22_4x_0" localSheetId="65">'313'!$P$48</definedName>
    <definedName name="OSRRefP22_4x_0" localSheetId="57">'315'!$P$105</definedName>
    <definedName name="OSRRefP22_4x_0" localSheetId="60">'316'!$P$55</definedName>
    <definedName name="OSRRefP22_4x_0" localSheetId="62">'317'!$P$75</definedName>
    <definedName name="OSRRefP22_4x_0" localSheetId="66">'321'!$P$50</definedName>
    <definedName name="OSRRefP22_4x_0" localSheetId="67">'322'!$P$47</definedName>
    <definedName name="OSRRefP22_4x_0" localSheetId="68">'325'!$P$49</definedName>
    <definedName name="OSRRefP22_4x_0" localSheetId="58">'326'!$P$69</definedName>
    <definedName name="OSRRefP22_4x_0" localSheetId="51">'330'!$P$63</definedName>
    <definedName name="OSRRefP22_4x_0" localSheetId="56">'331'!$P$105</definedName>
    <definedName name="OSRRefP22_4x_0" localSheetId="59">'332'!$P$55</definedName>
    <definedName name="OSRRefP22_4x_0" localSheetId="73">'405'!$P$47:$P$48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7">'413'!$P$48</definedName>
    <definedName name="OSRRefP22_4x_0" localSheetId="78">'414'!$P$49</definedName>
    <definedName name="OSRRefP22_4x_0" localSheetId="79">'415'!$P$52</definedName>
    <definedName name="OSRRefP22_4x_0" localSheetId="80">'418'!$P$47:$P$48</definedName>
    <definedName name="OSRRefP22_4x_0" localSheetId="82">'423'!$P$45</definedName>
    <definedName name="OSRRefP22_4x_0" localSheetId="84">'425'!$P$32:$P$33</definedName>
    <definedName name="OSRRefP22_4x_0" localSheetId="87">'430'!$P$47:$P$48</definedName>
    <definedName name="OSRRefP22_4x_0" localSheetId="88">'433'!$P$53</definedName>
    <definedName name="OSRRefP22_4x_0" localSheetId="90">'444'!$P$53</definedName>
    <definedName name="OSRRefP22_4x_0" localSheetId="91">'450'!$P$49</definedName>
    <definedName name="OSRRefP22_4x_0" localSheetId="72">'491'!$P$54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3'!$P$147</definedName>
    <definedName name="OSRRefP22_4x_0" localSheetId="70">'Div 4'!$P$57</definedName>
    <definedName name="OSRRefP22_4x_0" localSheetId="92">'Div 5'!$P$47</definedName>
    <definedName name="OSRRefP22_4x_0" localSheetId="61">'Div 6'!$P$75</definedName>
    <definedName name="OSRRefP22_4x_0" localSheetId="2">Summary!$P$174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'300'!$P$145:$P$146</definedName>
    <definedName name="OSRRefP22_5x_0" localSheetId="49">'300 &amp; 317'!$P$167:$P$168</definedName>
    <definedName name="OSRRefP22_5x_0" localSheetId="50">'301'!$P$48:$P$49</definedName>
    <definedName name="OSRRefP22_5x_0" localSheetId="52">'307'!$P$65:$P$66</definedName>
    <definedName name="OSRRefP22_5x_0" localSheetId="53">'308'!$P$84</definedName>
    <definedName name="OSRRefP22_5x_0" localSheetId="64">'309'!$P$48</definedName>
    <definedName name="OSRRefP22_5x_0" localSheetId="63">'310'!$P$55:$P$56</definedName>
    <definedName name="OSRRefP22_5x_0" localSheetId="71">'310 &amp; 491'!$P$59:$P$61</definedName>
    <definedName name="OSRRefP22_5x_0" localSheetId="54">'311'!$P$83</definedName>
    <definedName name="OSRRefP22_5x_0" localSheetId="65">'313'!$P$50</definedName>
    <definedName name="OSRRefP22_5x_0" localSheetId="57">'315'!$P$107</definedName>
    <definedName name="OSRRefP22_5x_0" localSheetId="60">'316'!$P$57</definedName>
    <definedName name="OSRRefP22_5x_0" localSheetId="62">'317'!$P$77</definedName>
    <definedName name="OSRRefP22_5x_0" localSheetId="66">'321'!$P$52</definedName>
    <definedName name="OSRRefP22_5x_0" localSheetId="67">'322'!$P$49</definedName>
    <definedName name="OSRRefP22_5x_0" localSheetId="68">'325'!$P$51:$P$52</definedName>
    <definedName name="OSRRefP22_5x_0" localSheetId="58">'326'!$P$71</definedName>
    <definedName name="OSRRefP22_5x_0" localSheetId="51">'330'!$P$65:$P$66</definedName>
    <definedName name="OSRRefP22_5x_0" localSheetId="56">'331'!$P$107</definedName>
    <definedName name="OSRRefP22_5x_0" localSheetId="59">'332'!$P$57</definedName>
    <definedName name="OSRRefP22_5x_0" localSheetId="73">'405'!$P$50</definedName>
    <definedName name="OSRRefP22_5x_0" localSheetId="75">'411'!$P$48</definedName>
    <definedName name="OSRRefP22_5x_0" localSheetId="76">'412'!$P$49</definedName>
    <definedName name="OSRRefP22_5x_0" localSheetId="77">'413'!$P$50</definedName>
    <definedName name="OSRRefP22_5x_0" localSheetId="78">'414'!$P$51</definedName>
    <definedName name="OSRRefP22_5x_0" localSheetId="79">'415'!$P$54:$P$55</definedName>
    <definedName name="OSRRefP22_5x_0" localSheetId="80">'418'!$P$50</definedName>
    <definedName name="OSRRefP22_5x_0" localSheetId="82">'423'!$P$47</definedName>
    <definedName name="OSRRefP22_5x_0" localSheetId="84">'425'!$P$35</definedName>
    <definedName name="OSRRefP22_5x_0" localSheetId="87">'430'!$P$50</definedName>
    <definedName name="OSRRefP22_5x_0" localSheetId="88">'433'!$P$55</definedName>
    <definedName name="OSRRefP22_5x_0" localSheetId="90">'444'!$P$55</definedName>
    <definedName name="OSRRefP22_5x_0" localSheetId="91">'450'!$P$51</definedName>
    <definedName name="OSRRefP22_5x_0" localSheetId="72">'491'!$P$56:$P$58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3'!$P$149:$P$150</definedName>
    <definedName name="OSRRefP22_5x_0" localSheetId="70">'Div 4'!$P$59:$P$61</definedName>
    <definedName name="OSRRefP22_5x_0" localSheetId="92">'Div 5'!$P$49:$P$50</definedName>
    <definedName name="OSRRefP22_5x_0" localSheetId="61">'Div 6'!$P$77</definedName>
    <definedName name="OSRRefP22_5x_0" localSheetId="2">Summary!$P$176:$P$178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'205'!$P$50:$P$52</definedName>
    <definedName name="OSRRefP22_6x_0" localSheetId="46">'206'!$P$49</definedName>
    <definedName name="OSRRefP22_6x_0" localSheetId="48">'300'!$P$148:$P$149</definedName>
    <definedName name="OSRRefP22_6x_0" localSheetId="49">'300 &amp; 317'!$P$170:$P$171</definedName>
    <definedName name="OSRRefP22_6x_0" localSheetId="50">'301'!$P$51</definedName>
    <definedName name="OSRRefP22_6x_0" localSheetId="52">'307'!$P$68</definedName>
    <definedName name="OSRRefP22_6x_0" localSheetId="53">'308'!$P$86</definedName>
    <definedName name="OSRRefP22_6x_0" localSheetId="64">'309'!$P$50:$P$51</definedName>
    <definedName name="OSRRefP22_6x_0" localSheetId="63">'310'!$P$58</definedName>
    <definedName name="OSRRefP22_6x_0" localSheetId="71">'310 &amp; 491'!$P$63</definedName>
    <definedName name="OSRRefP22_6x_0" localSheetId="54">'311'!$P$85</definedName>
    <definedName name="OSRRefP22_6x_0" localSheetId="65">'313'!$P$52:$P$53</definedName>
    <definedName name="OSRRefP22_6x_0" localSheetId="57">'315'!$P$109</definedName>
    <definedName name="OSRRefP22_6x_0" localSheetId="60">'316'!$P$59:$P$60</definedName>
    <definedName name="OSRRefP22_6x_0" localSheetId="62">'317'!$P$79:$P$80</definedName>
    <definedName name="OSRRefP22_6x_0" localSheetId="66">'321'!$P$54</definedName>
    <definedName name="OSRRefP22_6x_0" localSheetId="67">'322'!$P$51</definedName>
    <definedName name="OSRRefP22_6x_0" localSheetId="68">'325'!$P$54</definedName>
    <definedName name="OSRRefP22_6x_0" localSheetId="58">'326'!$P$73</definedName>
    <definedName name="OSRRefP22_6x_0" localSheetId="51">'330'!$P$68</definedName>
    <definedName name="OSRRefP22_6x_0" localSheetId="56">'331'!$P$109</definedName>
    <definedName name="OSRRefP22_6x_0" localSheetId="59">'332'!$P$59:$P$60</definedName>
    <definedName name="OSRRefP22_6x_0" localSheetId="73">'405'!$P$52</definedName>
    <definedName name="OSRRefP22_6x_0" localSheetId="75">'411'!$P$50</definedName>
    <definedName name="OSRRefP22_6x_0" localSheetId="76">'412'!$P$51</definedName>
    <definedName name="OSRRefP22_6x_0" localSheetId="77">'413'!$P$52</definedName>
    <definedName name="OSRRefP22_6x_0" localSheetId="78">'414'!$P$53</definedName>
    <definedName name="OSRRefP22_6x_0" localSheetId="79">'415'!$P$57</definedName>
    <definedName name="OSRRefP22_6x_0" localSheetId="80">'418'!$P$52</definedName>
    <definedName name="OSRRefP22_6x_0" localSheetId="82">'423'!$P$49</definedName>
    <definedName name="OSRRefP22_6x_0" localSheetId="87">'430'!$P$52</definedName>
    <definedName name="OSRRefP22_6x_0" localSheetId="88">'433'!$P$57</definedName>
    <definedName name="OSRRefP22_6x_0" localSheetId="90">'444'!$P$57</definedName>
    <definedName name="OSRRefP22_6x_0" localSheetId="91">'450'!$P$53</definedName>
    <definedName name="OSRRefP22_6x_0" localSheetId="72">'491'!$P$60</definedName>
    <definedName name="OSRRefP22_6x_0" localSheetId="86">'492'!$P$57</definedName>
    <definedName name="OSRRefP22_6x_0" localSheetId="93">'501'!$P$52</definedName>
    <definedName name="OSRRefP22_6x_0" localSheetId="39">'Div 2'!$P$53</definedName>
    <definedName name="OSRRefP22_6x_0" localSheetId="47">'Div 3'!$P$152:$P$153</definedName>
    <definedName name="OSRRefP22_6x_0" localSheetId="70">'Div 4'!$P$63</definedName>
    <definedName name="OSRRefP22_6x_0" localSheetId="92">'Div 5'!$P$52</definedName>
    <definedName name="OSRRefP22_6x_0" localSheetId="61">'Div 6'!$P$79:$P$80</definedName>
    <definedName name="OSRRefP22_6x_0" localSheetId="2">Summary!$P$180:$P$181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'204'!$P$53:$P$55</definedName>
    <definedName name="OSRRefP22_7x_0" localSheetId="45">'205'!$P$54</definedName>
    <definedName name="OSRRefP22_7x_0" localSheetId="46">'206'!$P$51</definedName>
    <definedName name="OSRRefP22_7x_0" localSheetId="48">'300'!$P$151:$P$152</definedName>
    <definedName name="OSRRefP22_7x_0" localSheetId="49">'300 &amp; 317'!$P$173:$P$174</definedName>
    <definedName name="OSRRefP22_7x_0" localSheetId="50">'301'!$P$53</definedName>
    <definedName name="OSRRefP22_7x_0" localSheetId="52">'307'!$P$70</definedName>
    <definedName name="OSRRefP22_7x_0" localSheetId="53">'308'!$P$88:$P$89</definedName>
    <definedName name="OSRRefP22_7x_0" localSheetId="64">'309'!$P$53:$P$54</definedName>
    <definedName name="OSRRefP22_7x_0" localSheetId="63">'310'!$P$60</definedName>
    <definedName name="OSRRefP22_7x_0" localSheetId="71">'310 &amp; 491'!$P$65</definedName>
    <definedName name="OSRRefP22_7x_0" localSheetId="54">'311'!$P$87:$P$88</definedName>
    <definedName name="OSRRefP22_7x_0" localSheetId="65">'313'!$P$55</definedName>
    <definedName name="OSRRefP22_7x_0" localSheetId="57">'315'!$P$111:$P$112</definedName>
    <definedName name="OSRRefP22_7x_0" localSheetId="60">'316'!$P$62:$P$63</definedName>
    <definedName name="OSRRefP22_7x_0" localSheetId="62">'317'!$P$82</definedName>
    <definedName name="OSRRefP22_7x_0" localSheetId="66">'321'!$P$56:$P$57</definedName>
    <definedName name="OSRRefP22_7x_0" localSheetId="67">'322'!$P$53:$P$54</definedName>
    <definedName name="OSRRefP22_7x_0" localSheetId="68">'325'!$P$56</definedName>
    <definedName name="OSRRefP22_7x_0" localSheetId="58">'326'!$P$75</definedName>
    <definedName name="OSRRefP22_7x_0" localSheetId="51">'330'!$P$70</definedName>
    <definedName name="OSRRefP22_7x_0" localSheetId="56">'331'!$P$111</definedName>
    <definedName name="OSRRefP22_7x_0" localSheetId="59">'332'!$P$62:$P$63</definedName>
    <definedName name="OSRRefP22_7x_0" localSheetId="73">'405'!$P$54</definedName>
    <definedName name="OSRRefP22_7x_0" localSheetId="75">'411'!$P$52</definedName>
    <definedName name="OSRRefP22_7x_0" localSheetId="76">'412'!$P$53</definedName>
    <definedName name="OSRRefP22_7x_0" localSheetId="77">'413'!$P$54</definedName>
    <definedName name="OSRRefP22_7x_0" localSheetId="78">'414'!$P$55</definedName>
    <definedName name="OSRRefP22_7x_0" localSheetId="79">'415'!$P$59</definedName>
    <definedName name="OSRRefP22_7x_0" localSheetId="80">'418'!$P$54</definedName>
    <definedName name="OSRRefP22_7x_0" localSheetId="88">'433'!$P$59</definedName>
    <definedName name="OSRRefP22_7x_0" localSheetId="90">'444'!$P$59</definedName>
    <definedName name="OSRRefP22_7x_0" localSheetId="91">'450'!$P$55</definedName>
    <definedName name="OSRRefP22_7x_0" localSheetId="72">'491'!$P$62</definedName>
    <definedName name="OSRRefP22_7x_0" localSheetId="86">'492'!$P$59</definedName>
    <definedName name="OSRRefP22_7x_0" localSheetId="93">'501'!$P$54</definedName>
    <definedName name="OSRRefP22_7x_0" localSheetId="39">'Div 2'!$P$55</definedName>
    <definedName name="OSRRefP22_7x_0" localSheetId="47">'Div 3'!$P$155:$P$156</definedName>
    <definedName name="OSRRefP22_7x_0" localSheetId="70">'Div 4'!$P$65</definedName>
    <definedName name="OSRRefP22_7x_0" localSheetId="92">'Div 5'!$P$54</definedName>
    <definedName name="OSRRefP22_7x_0" localSheetId="61">'Div 6'!$P$82</definedName>
    <definedName name="OSRRefP22_7x_0" localSheetId="2">Summary!$P$183:$P$184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'300'!$P$154</definedName>
    <definedName name="OSRRefP22_8x_0" localSheetId="49">'300 &amp; 317'!$P$176</definedName>
    <definedName name="OSRRefP22_8x_0" localSheetId="50">'301'!$P$55</definedName>
    <definedName name="OSRRefP22_8x_0" localSheetId="52">'307'!$P$72</definedName>
    <definedName name="OSRRefP22_8x_0" localSheetId="53">'308'!$P$91</definedName>
    <definedName name="OSRRefP22_8x_0" localSheetId="64">'309'!$P$56:$P$57</definedName>
    <definedName name="OSRRefP22_8x_0" localSheetId="63">'310'!$P$62</definedName>
    <definedName name="OSRRefP22_8x_0" localSheetId="71">'310 &amp; 491'!$P$67:$P$68</definedName>
    <definedName name="OSRRefP22_8x_0" localSheetId="54">'311'!$P$90</definedName>
    <definedName name="OSRRefP22_8x_0" localSheetId="65">'313'!$P$57:$P$59</definedName>
    <definedName name="OSRRefP22_8x_0" localSheetId="57">'315'!$P$114</definedName>
    <definedName name="OSRRefP22_8x_0" localSheetId="60">'316'!$P$65</definedName>
    <definedName name="OSRRefP22_8x_0" localSheetId="62">'317'!$P$84</definedName>
    <definedName name="OSRRefP22_8x_0" localSheetId="66">'321'!$P$59:$P$60</definedName>
    <definedName name="OSRRefP22_8x_0" localSheetId="67">'322'!$P$56:$P$57</definedName>
    <definedName name="OSRRefP22_8x_0" localSheetId="68">'325'!$P$58</definedName>
    <definedName name="OSRRefP22_8x_0" localSheetId="58">'326'!$P$77:$P$78</definedName>
    <definedName name="OSRRefP22_8x_0" localSheetId="51">'330'!$P$72</definedName>
    <definedName name="OSRRefP22_8x_0" localSheetId="56">'331'!$P$113:$P$114</definedName>
    <definedName name="OSRRefP22_8x_0" localSheetId="59">'332'!$P$65</definedName>
    <definedName name="OSRRefP22_8x_0" localSheetId="73">'405'!$P$56:$P$57</definedName>
    <definedName name="OSRRefP22_8x_0" localSheetId="75">'411'!$P$54</definedName>
    <definedName name="OSRRefP22_8x_0" localSheetId="76">'412'!$P$55:$P$56</definedName>
    <definedName name="OSRRefP22_8x_0" localSheetId="77">'413'!$P$56:$P$58</definedName>
    <definedName name="OSRRefP22_8x_0" localSheetId="78">'414'!$P$57:$P$58</definedName>
    <definedName name="OSRRefP22_8x_0" localSheetId="79">'415'!$P$61</definedName>
    <definedName name="OSRRefP22_8x_0" localSheetId="80">'418'!$P$56:$P$58</definedName>
    <definedName name="OSRRefP22_8x_0" localSheetId="88">'433'!$P$61</definedName>
    <definedName name="OSRRefP22_8x_0" localSheetId="90">'444'!$P$61</definedName>
    <definedName name="OSRRefP22_8x_0" localSheetId="91">'450'!$P$57</definedName>
    <definedName name="OSRRefP22_8x_0" localSheetId="72">'491'!$P$64</definedName>
    <definedName name="OSRRefP22_8x_0" localSheetId="86">'492'!$P$61</definedName>
    <definedName name="OSRRefP22_8x_0" localSheetId="93">'501'!$P$56</definedName>
    <definedName name="OSRRefP22_8x_0" localSheetId="39">'Div 2'!$P$57</definedName>
    <definedName name="OSRRefP22_8x_0" localSheetId="47">'Div 3'!$P$158</definedName>
    <definedName name="OSRRefP22_8x_0" localSheetId="70">'Div 4'!$P$67</definedName>
    <definedName name="OSRRefP22_8x_0" localSheetId="92">'Div 5'!$P$56</definedName>
    <definedName name="OSRRefP22_8x_0" localSheetId="61">'Div 6'!$P$84</definedName>
    <definedName name="OSRRefP22_8x_0" localSheetId="2">Summary!$P$186</definedName>
    <definedName name="OSRRefP22_9x_0" localSheetId="41">'201'!$P$56</definedName>
    <definedName name="OSRRefP22_9x_0" localSheetId="42">'202'!$P$58:$P$60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'300'!$P$156</definedName>
    <definedName name="OSRRefP22_9x_0" localSheetId="49">'300 &amp; 317'!$P$178</definedName>
    <definedName name="OSRRefP22_9x_0" localSheetId="50">'301'!$P$57</definedName>
    <definedName name="OSRRefP22_9x_0" localSheetId="52">'307'!$P$74:$P$75</definedName>
    <definedName name="OSRRefP22_9x_0" localSheetId="53">'308'!$P$93:$P$94</definedName>
    <definedName name="OSRRefP22_9x_0" localSheetId="64">'309'!$P$59</definedName>
    <definedName name="OSRRefP22_9x_0" localSheetId="63">'310'!$P$64</definedName>
    <definedName name="OSRRefP22_9x_0" localSheetId="71">'310 &amp; 491'!$P$70</definedName>
    <definedName name="OSRRefP22_9x_0" localSheetId="54">'311'!$P$92:$P$93</definedName>
    <definedName name="OSRRefP22_9x_0" localSheetId="65">'313'!$P$61:$P$62</definedName>
    <definedName name="OSRRefP22_9x_0" localSheetId="57">'315'!$P$116</definedName>
    <definedName name="OSRRefP22_9x_0" localSheetId="60">'316'!$P$67:$P$71</definedName>
    <definedName name="OSRRefP22_9x_0" localSheetId="62">'317'!$P$86</definedName>
    <definedName name="OSRRefP22_9x_0" localSheetId="66">'321'!$P$62:$P$63</definedName>
    <definedName name="OSRRefP22_9x_0" localSheetId="67">'322'!$P$59:$P$62</definedName>
    <definedName name="OSRRefP22_9x_0" localSheetId="68">'325'!$P$60</definedName>
    <definedName name="OSRRefP22_9x_0" localSheetId="58">'326'!$P$80</definedName>
    <definedName name="OSRRefP22_9x_0" localSheetId="51">'330'!$P$74:$P$75</definedName>
    <definedName name="OSRRefP22_9x_0" localSheetId="56">'331'!$P$116:$P$117</definedName>
    <definedName name="OSRRefP22_9x_0" localSheetId="59">'332'!$P$67:$P$71</definedName>
    <definedName name="OSRRefP22_9x_0" localSheetId="73">'405'!$P$59</definedName>
    <definedName name="OSRRefP22_9x_0" localSheetId="75">'411'!$P$56:$P$57</definedName>
    <definedName name="OSRRefP22_9x_0" localSheetId="76">'412'!$P$58</definedName>
    <definedName name="OSRRefP22_9x_0" localSheetId="77">'413'!$P$60:$P$61</definedName>
    <definedName name="OSRRefP22_9x_0" localSheetId="78">'414'!$P$60</definedName>
    <definedName name="OSRRefP22_9x_0" localSheetId="79">'415'!$P$63</definedName>
    <definedName name="OSRRefP22_9x_0" localSheetId="80">'418'!$P$60:$P$61</definedName>
    <definedName name="OSRRefP22_9x_0" localSheetId="88">'433'!$P$63</definedName>
    <definedName name="OSRRefP22_9x_0" localSheetId="90">'444'!$P$63</definedName>
    <definedName name="OSRRefP22_9x_0" localSheetId="91">'450'!$P$59</definedName>
    <definedName name="OSRRefP22_9x_0" localSheetId="72">'491'!$P$66</definedName>
    <definedName name="OSRRefP22_9x_0" localSheetId="86">'492'!$P$63</definedName>
    <definedName name="OSRRefP22_9x_0" localSheetId="93">'501'!$P$58:$P$61</definedName>
    <definedName name="OSRRefP22_9x_0" localSheetId="39">'Div 2'!$P$59:$P$60</definedName>
    <definedName name="OSRRefP22_9x_0" localSheetId="47">'Div 3'!$P$160</definedName>
    <definedName name="OSRRefP22_9x_0" localSheetId="70">'Div 4'!$P$69</definedName>
    <definedName name="OSRRefP22_9x_0" localSheetId="92">'Div 5'!$P$58:$P$61</definedName>
    <definedName name="OSRRefP22_9x_0" localSheetId="61">'Div 6'!$P$86</definedName>
    <definedName name="OSRRefP22_9x_0" localSheetId="2">Summary!$P$188</definedName>
    <definedName name="OSRRefP22x_0" localSheetId="40">'200'!$P$20,'200'!$P$22,'200'!$P$24,'200'!$P$26,'200'!$P$28:$P$29</definedName>
    <definedName name="OSRRefP22x_0" localSheetId="41">'201'!$P$21:$P$29,'201'!$P$31:$P$40,'201'!$P$42,'201'!$P$44,'201'!$P$46,'201'!$P$48,'201'!$P$50,'201'!$P$52,'201'!$P$54,'201'!$P$56,'201'!$P$58:$P$60,'201'!$P$62,'201'!$P$64,'201'!$P$66:$P$68,'201'!$P$70,'201'!$P$72,'201'!$P$74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$116:$P$125,'300'!$P$127:$P$136,'300'!$P$138,'300'!$P$140:$P$141,'300'!$P$143,'300'!$P$145:$P$146,'300'!$P$148:$P$149,'300'!$P$151:$P$152,'300'!$P$154,'300'!$P$156,'300'!$P$158:$P$159,'300'!$P$161:$P$163,'300'!$P$165,'300'!$P$167,'300'!$P$169,'300'!$P$171,'300'!$P$173:$P$176,'300'!$P$178:$P$181,'300'!$P$183:$P$186,'300'!$P$188:$P$189,'300'!$P$191:$P$199,'300'!$P$201:$P$202,'300'!$P$204,'300'!$P$206:$P$208,'300'!$P$210</definedName>
    <definedName name="OSRRefP22x_0" localSheetId="49">'300 &amp; 317'!$P$138:$P$147,'300 &amp; 317'!$P$149:$P$158,'300 &amp; 317'!$P$160,'300 &amp; 317'!$P$162:$P$163,'300 &amp; 317'!$P$165,'300 &amp; 317'!$P$167:$P$168,'300 &amp; 317'!$P$170:$P$171,'300 &amp; 317'!$P$173:$P$174,'300 &amp; 317'!$P$176,'300 &amp; 317'!$P$178,'300 &amp; 317'!$P$180:$P$181,'300 &amp; 317'!$P$183:$P$185,'300 &amp; 317'!$P$187,'300 &amp; 317'!$P$189,'300 &amp; 317'!$P$191,'300 &amp; 317'!$P$193,'300 &amp; 317'!$P$195:$P$198,'300 &amp; 317'!$P$200:$P$203,'300 &amp; 317'!$P$205:$P$208,'300 &amp; 317'!$P$210:$P$211,'300 &amp; 317'!$P$213:$P$221,'300 &amp; 317'!$P$223:$P$224,'300 &amp; 317'!$P$226,'300 &amp; 317'!$P$228:$P$230,'300 &amp; 317'!$P$232</definedName>
    <definedName name="OSRRefP22x_0" localSheetId="50">'301'!$P$20:$P$28,'301'!$P$30:$P$39,'301'!$P$41,'301'!$P$43:$P$44,'301'!$P$46,'301'!$P$48:$P$49,'301'!$P$51,'301'!$P$53,'301'!$P$55,'301'!$P$57,'301'!$P$59,'301'!$P$61,'301'!$P$63,'301'!$P$65,'301'!$P$67:$P$70,'301'!$P$72:$P$74,'301'!$P$76,'301'!$P$78:$P$84,'301'!$P$86,'301'!$P$88,'301'!$P$90:$P$91,'301'!$P$93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'308'!$P$56:$P$65,'308'!$P$67:$P$76,'308'!$P$78,'308'!$P$80,'308'!$P$82,'308'!$P$84,'308'!$P$86,'308'!$P$88:$P$89,'308'!$P$91,'308'!$P$93:$P$94,'308'!$P$96,'308'!$P$98:$P$100,'308'!$P$102:$P$103,'308'!$P$105</definedName>
    <definedName name="OSRRefP22x_0" localSheetId="64">'309'!$P$22:$P$29,'309'!$P$31:$P$40,'309'!$P$42,'309'!$P$44,'309'!$P$46,'309'!$P$48,'309'!$P$50:$P$51,'309'!$P$53:$P$54,'309'!$P$56:$P$57,'309'!$P$59</definedName>
    <definedName name="OSRRefP22x_0" localSheetId="63">'310'!$P$28:$P$36,'310'!$P$38:$P$47,'310'!$P$49,'310'!$P$51,'310'!$P$53,'310'!$P$55:$P$56,'310'!$P$58,'310'!$P$60,'310'!$P$62,'310'!$P$64,'310'!$P$66,'310'!$P$68,'310'!$P$70:$P$73,'310'!$P$75:$P$76,'310'!$P$78:$P$81,'310'!$P$83,'310'!$P$85:$P$91,'310'!$P$93:$P$94,'310'!$P$96,'310'!$P$98,'310'!$P$100</definedName>
    <definedName name="OSRRefP22x_0" localSheetId="71">'310 &amp; 491'!$P$32:$P$40,'310 &amp; 491'!$P$42:$P$51,'310 &amp; 491'!$P$53,'310 &amp; 491'!$P$55,'310 &amp; 491'!$P$57,'310 &amp; 491'!$P$59:$P$61,'310 &amp; 491'!$P$63,'310 &amp; 491'!$P$65,'310 &amp; 491'!$P$67:$P$68,'310 &amp; 491'!$P$70,'310 &amp; 491'!$P$72,'310 &amp; 491'!$P$74,'310 &amp; 491'!$P$76,'310 &amp; 491'!$P$78:$P$81,'310 &amp; 491'!$P$83:$P$84,'310 &amp; 491'!$P$86:$P$90,'310 &amp; 491'!$P$92,'310 &amp; 491'!$P$94:$P$104,'310 &amp; 491'!$P$106:$P$107,'310 &amp; 491'!$P$109,'310 &amp; 491'!$P$111:$P$113,'310 &amp; 491'!$P$115</definedName>
    <definedName name="OSRRefP22x_0" localSheetId="54">'311'!$P$55:$P$64,'311'!$P$66:$P$75,'311'!$P$77,'311'!$P$79,'311'!$P$81,'311'!$P$83,'311'!$P$85,'311'!$P$87:$P$88,'311'!$P$90,'311'!$P$92:$P$93,'311'!$P$95,'311'!$P$97:$P$99,'311'!$P$101:$P$102,'311'!$P$104</definedName>
    <definedName name="OSRRefP22x_0" localSheetId="65">'313'!$P$23:$P$31,'313'!$P$33:$P$42,'313'!$P$44,'313'!$P$46,'313'!$P$48,'313'!$P$50,'313'!$P$52:$P$53,'313'!$P$55,'313'!$P$57:$P$59,'313'!$P$61:$P$62,'313'!$P$64,'313'!$P$66</definedName>
    <definedName name="OSRRefP22x_0" localSheetId="57">'315'!$P$80:$P$88,'315'!$P$90:$P$99,'315'!$P$101,'315'!$P$103,'315'!$P$105,'315'!$P$107,'315'!$P$109,'315'!$P$111:$P$112,'315'!$P$114,'315'!$P$116,'315'!$P$118,'315'!$P$120,'315'!$P$122:$P$124,'315'!$P$126:$P$127,'315'!$P$129:$P$135,'315'!$P$137,'315'!$P$139:$P$140</definedName>
    <definedName name="OSRRefP22x_0" localSheetId="60">'316'!$P$30:$P$38,'316'!$P$40:$P$49,'316'!$P$51,'316'!$P$53,'316'!$P$55,'316'!$P$57,'316'!$P$59:$P$60,'316'!$P$62:$P$63,'316'!$P$65,'316'!$P$67:$P$71,'316'!$P$73,'316'!$P$75</definedName>
    <definedName name="OSRRefP22x_0" localSheetId="62">'317'!$P$49:$P$58,'317'!$P$60:$P$69,'317'!$P$71,'317'!$P$73,'317'!$P$75,'317'!$P$77,'317'!$P$79:$P$80,'317'!$P$82,'317'!$P$84,'317'!$P$86,'317'!$P$88:$P$90,'317'!$P$92,'317'!$P$94</definedName>
    <definedName name="OSRRefP22x_0" localSheetId="66">'321'!$P$25:$P$33,'321'!$P$35:$P$44,'321'!$P$46,'321'!$P$48,'321'!$P$50,'321'!$P$52,'321'!$P$54,'321'!$P$56:$P$57,'321'!$P$59:$P$60,'321'!$P$62:$P$63,'321'!$P$65:$P$67,'321'!$P$69:$P$70,'321'!$P$72,'321'!$P$74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'325'!$P$25:$P$32,'325'!$P$34:$P$43,'325'!$P$45,'325'!$P$47,'325'!$P$49,'325'!$P$51:$P$52,'325'!$P$54,'325'!$P$56,'325'!$P$58,'325'!$P$60,'325'!$P$62:$P$65,'325'!$P$67:$P$69,'325'!$P$71,'325'!$P$73:$P$77,'325'!$P$79:$P$80,'325'!$P$82,'325'!$P$84</definedName>
    <definedName name="OSRRefP22x_0" localSheetId="58">'326'!$P$44:$P$52,'326'!$P$54:$P$63,'326'!$P$65,'326'!$P$67,'326'!$P$69,'326'!$P$71,'326'!$P$73,'326'!$P$75,'326'!$P$77:$P$78,'326'!$P$80,'326'!$P$82,'326'!$P$84,'326'!$P$86,'326'!$P$88:$P$89,'326'!$P$91:$P$93,'326'!$P$95:$P$96,'326'!$P$98:$P$103,'326'!$P$105:$P$106,'326'!$P$108,'326'!$P$110:$P$111,'326'!$P$113</definedName>
    <definedName name="OSRRefP22x_0" localSheetId="69">'327'!$P$24</definedName>
    <definedName name="OSRRefP22x_0" localSheetId="51">'330'!$P$39:$P$46,'330'!$P$48:$P$57,'330'!$P$59,'330'!$P$61,'330'!$P$63,'330'!$P$65:$P$66,'330'!$P$68,'330'!$P$70,'330'!$P$72,'330'!$P$74:$P$75,'330'!$P$77:$P$78,'330'!$P$80:$P$83,'330'!$P$85:$P$86,'330'!$P$88</definedName>
    <definedName name="OSRRefP22x_0" localSheetId="56">'331'!$P$80:$P$88,'331'!$P$90:$P$99,'331'!$P$101,'331'!$P$103,'331'!$P$105,'331'!$P$107,'331'!$P$109,'331'!$P$111,'331'!$P$113:$P$114,'331'!$P$116:$P$117,'331'!$P$119,'331'!$P$121,'331'!$P$123,'331'!$P$125,'331'!$P$127:$P$128,'331'!$P$130:$P$132,'331'!$P$134:$P$136,'331'!$P$138:$P$139,'331'!$P$141:$P$148,'331'!$P$150:$P$151,'331'!$P$153,'331'!$P$155:$P$156,'331'!$P$158</definedName>
    <definedName name="OSRRefP22x_0" localSheetId="59">'332'!$P$30:$P$38,'332'!$P$40:$P$49,'332'!$P$51,'332'!$P$53,'332'!$P$55,'332'!$P$57,'332'!$P$59:$P$60,'332'!$P$62:$P$63,'332'!$P$65,'332'!$P$67:$P$71,'332'!$P$73,'332'!$P$75</definedName>
    <definedName name="OSRRefP22x_0" localSheetId="73">'405'!$P$23:$P$30,'405'!$P$32:$P$41,'405'!$P$43,'405'!$P$45,'405'!$P$47:$P$48,'405'!$P$50,'405'!$P$52,'405'!$P$54,'405'!$P$56:$P$57,'405'!$P$59,'405'!$P$61:$P$64,'405'!$P$66,'405'!$P$68:$P$76,'405'!$P$78,'405'!$P$80,'405'!$P$82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'411'!$P$20:$P$28,'411'!$P$30:$P$39,'411'!$P$41,'411'!$P$43,'411'!$P$45:$P$46,'411'!$P$48,'411'!$P$50,'411'!$P$52,'411'!$P$54,'411'!$P$56:$P$57,'411'!$P$59:$P$62,'411'!$P$64:$P$70,'411'!$P$72,'411'!$P$74,'411'!$P$76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7">'413'!$P$23:$P$31,'413'!$P$33:$P$42,'413'!$P$44,'413'!$P$46,'413'!$P$48,'413'!$P$50,'413'!$P$52,'413'!$P$54,'413'!$P$56:$P$58,'413'!$P$60:$P$61,'413'!$P$63:$P$70,'413'!$P$72:$P$73,'413'!$P$75</definedName>
    <definedName name="OSRRefP22x_0" localSheetId="78">'414'!$P$24:$P$32,'414'!$P$34:$P$43,'414'!$P$45,'414'!$P$47,'414'!$P$49,'414'!$P$51,'414'!$P$53,'414'!$P$55,'414'!$P$57:$P$58,'414'!$P$60,'414'!$P$62,'414'!$P$64,'414'!$P$66:$P$68,'414'!$P$70,'414'!$P$72,'414'!$P$74</definedName>
    <definedName name="OSRRefP22x_0" localSheetId="79">'415'!$P$27:$P$35,'415'!$P$37:$P$46,'415'!$P$48,'415'!$P$50,'415'!$P$52,'415'!$P$54:$P$55,'415'!$P$57,'415'!$P$59,'415'!$P$61,'415'!$P$63,'415'!$P$65:$P$66,'415'!$P$68:$P$72,'415'!$P$74,'415'!$P$76:$P$82,'415'!$P$84:$P$85,'415'!$P$87,'415'!$P$89:$P$90,'415'!$P$92</definedName>
    <definedName name="OSRRefP22x_0" localSheetId="80">'418'!$P$23:$P$30,'418'!$P$32:$P$41,'418'!$P$43,'418'!$P$45,'418'!$P$47:$P$48,'418'!$P$50,'418'!$P$52,'418'!$P$54,'418'!$P$56:$P$58,'418'!$P$60:$P$61,'418'!$P$63,'418'!$P$65:$P$74,'418'!$P$76:$P$77,'418'!$P$79</definedName>
    <definedName name="OSRRefP22x_0" localSheetId="81">'420'!$P$21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'425'!$P$20:$P$24,'425'!$P$26,'425'!$P$28,'425'!$P$30,'425'!$P$32:$P$33,'425'!$P$35</definedName>
    <definedName name="OSRRefP22x_0" localSheetId="87">'430'!$P$20:$P$28,'430'!$P$30:$P$39,'430'!$P$41,'430'!$P$43:$P$45,'430'!$P$47:$P$48,'430'!$P$50,'430'!$P$52</definedName>
    <definedName name="OSRRefP22x_0" localSheetId="88">'433'!$P$27:$P$36,'433'!$P$38:$P$47,'433'!$P$49,'433'!$P$51,'433'!$P$53,'433'!$P$55,'433'!$P$57,'433'!$P$59,'433'!$P$61,'433'!$P$63,'433'!$P$65,'433'!$P$67:$P$68,'433'!$P$70:$P$73,'433'!$P$75:$P$82,'433'!$P$84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'444'!$P$27:$P$36,'444'!$P$38:$P$47,'444'!$P$49,'444'!$P$51,'444'!$P$53,'444'!$P$55,'444'!$P$57,'444'!$P$59,'444'!$P$61,'444'!$P$63,'444'!$P$65,'444'!$P$67:$P$70,'444'!$P$72:$P$74,'444'!$P$76,'444'!$P$78:$P$86,'444'!$P$88:$P$89,'444'!$P$91</definedName>
    <definedName name="OSRRefP22x_0" localSheetId="91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$29:$P$37,'491'!$P$39:$P$48,'491'!$P$50,'491'!$P$52,'491'!$P$54,'491'!$P$56:$P$58,'491'!$P$60,'491'!$P$62,'491'!$P$64,'491'!$P$66,'491'!$P$68,'491'!$P$70,'491'!$P$72,'491'!$P$74:$P$77,'491'!$P$79:$P$80,'491'!$P$82:$P$86,'491'!$P$88,'491'!$P$90:$P$100,'491'!$P$102:$P$103,'491'!$P$105,'491'!$P$107:$P$109,'491'!$P$111</definedName>
    <definedName name="OSRRefP22x_0" localSheetId="86">'492'!$P$27:$P$36,'492'!$P$38:$P$47,'492'!$P$49,'492'!$P$51,'492'!$P$53,'492'!$P$55,'492'!$P$57,'492'!$P$59,'492'!$P$61,'492'!$P$63,'492'!$P$65,'492'!$P$67,'492'!$P$69:$P$72,'492'!$P$74:$P$77,'492'!$P$79,'492'!$P$81:$P$90,'492'!$P$92:$P$93,'492'!$P$95,'492'!$P$97</definedName>
    <definedName name="OSRRefP22x_0" localSheetId="93">'501'!$P$21:$P$30,'501'!$P$32:$P$41,'501'!$P$43,'501'!$P$45,'501'!$P$47,'501'!$P$49:$P$50,'501'!$P$52,'501'!$P$54,'501'!$P$56,'501'!$P$58:$P$61,'501'!$P$63:$P$64,'501'!$P$66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7">'Div 3'!$P$120:$P$129,'Div 3'!$P$131:$P$140,'Div 3'!$P$142,'Div 3'!$P$144:$P$145,'Div 3'!$P$147,'Div 3'!$P$149:$P$150,'Div 3'!$P$152:$P$153,'Div 3'!$P$155:$P$156,'Div 3'!$P$158,'Div 3'!$P$160,'Div 3'!$P$162:$P$163,'Div 3'!$P$165:$P$167,'Div 3'!$P$169,'Div 3'!$P$171,'Div 3'!$P$173,'Div 3'!$P$175,'Div 3'!$P$177,'Div 3'!$P$179:$P$182,'Div 3'!$P$184:$P$187,'Div 3'!$P$189:$P$193,'Div 3'!$P$195:$P$196,'Div 3'!$P$198:$P$206,'Div 3'!$P$208:$P$209,'Div 3'!$P$211,'Div 3'!$P$213:$P$215,'Div 3'!$P$217</definedName>
    <definedName name="OSRRefP22x_0" localSheetId="70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4'!$P$95:$P$96,'Div 4'!$P$98:$P$108,'Div 4'!$P$110:$P$111,'Div 4'!$P$113,'Div 4'!$P$115:$P$117,'Div 4'!$P$119</definedName>
    <definedName name="OSRRefP22x_0" localSheetId="92">'Div 5'!$P$21:$P$30,'Div 5'!$P$32:$P$41,'Div 5'!$P$43,'Div 5'!$P$45,'Div 5'!$P$47,'Div 5'!$P$49:$P$50,'Div 5'!$P$52,'Div 5'!$P$54,'Div 5'!$P$56,'Div 5'!$P$58:$P$61,'Div 5'!$P$63:$P$64,'Div 5'!$P$66</definedName>
    <definedName name="OSRRefP22x_0" localSheetId="61">'Div 6'!$P$49:$P$58,'Div 6'!$P$60:$P$69,'Div 6'!$P$71,'Div 6'!$P$73,'Div 6'!$P$75,'Div 6'!$P$77,'Div 6'!$P$79:$P$80,'Div 6'!$P$82,'Div 6'!$P$84,'Div 6'!$P$86,'Div 6'!$P$88:$P$90,'Div 6'!$P$92,'Div 6'!$P$94</definedName>
    <definedName name="OSRRefP22x_0" localSheetId="2">Summary!$P$147:$P$156,Summary!$P$158:$P$167,Summary!$P$169,Summary!$P$171:$P$172,Summary!$P$174,Summary!$P$176:$P$178,Summary!$P$180:$P$181,Summary!$P$183:$P$184,Summary!$P$186,Summary!$P$188,Summary!$P$190:$P$191,Summary!$P$193:$P$195,Summary!$P$197,Summary!$P$199,Summary!$P$201,Summary!$P$203,Summary!$P$205,Summary!$P$207,Summary!$P$209:$P$212,Summary!$P$214:$P$217,Summary!$P$219:$P$223,Summary!$P$225:$P$226,Summary!$P$228:$P$238,Summary!$P$240:$P$241,Summary!$P$243,Summary!$P$245:$P$247,Summary!$P$249</definedName>
    <definedName name="OSRRefP25x_0" localSheetId="42">'202'!$P$69:$P$71</definedName>
    <definedName name="OSRRefP25x_0" localSheetId="48">'300'!$P$213:$P$216</definedName>
    <definedName name="OSRRefP25x_0" localSheetId="49">'300 &amp; 317'!$P$235:$P$239</definedName>
    <definedName name="OSRRefP25x_0" localSheetId="50">'301'!$P$96:$P$97</definedName>
    <definedName name="OSRRefP25x_0" localSheetId="53">'308'!$P$108:$P$110</definedName>
    <definedName name="OSRRefP25x_0" localSheetId="71">'310 &amp; 491'!$P$118:$P$121</definedName>
    <definedName name="OSRRefP25x_0" localSheetId="54">'311'!$P$107:$P$109</definedName>
    <definedName name="OSRRefP25x_0" localSheetId="57">'315'!$P$143:$P$145</definedName>
    <definedName name="OSRRefP25x_0" localSheetId="60">'316'!$P$78</definedName>
    <definedName name="OSRRefP25x_0" localSheetId="62">'317'!$P$97:$P$98</definedName>
    <definedName name="OSRRefP25x_0" localSheetId="56">'331'!$P$161:$P$163</definedName>
    <definedName name="OSRRefP25x_0" localSheetId="59">'332'!$P$78</definedName>
    <definedName name="OSRRefP25x_0" localSheetId="75">'411'!$P$79:$P$80</definedName>
    <definedName name="OSRRefP25x_0" localSheetId="80">'418'!$P$82</definedName>
    <definedName name="OSRRefP25x_0" localSheetId="82">'423'!$P$52:$P$54</definedName>
    <definedName name="OSRRefP25x_0" localSheetId="85">'455'!$P$21:$P$22</definedName>
    <definedName name="OSRRefP25x_0" localSheetId="72">'491'!$P$114:$P$117</definedName>
    <definedName name="OSRRefP25x_0" localSheetId="93">'501'!$P$69</definedName>
    <definedName name="OSRRefP25x_0" localSheetId="39">'Div 2'!$P$98:$P$100</definedName>
    <definedName name="OSRRefP25x_0" localSheetId="47">'Div 3'!$P$220:$P$223</definedName>
    <definedName name="OSRRefP25x_0" localSheetId="70">'Div 4'!$P$122:$P$125</definedName>
    <definedName name="OSRRefP25x_0" localSheetId="92">'Div 5'!$P$69</definedName>
    <definedName name="OSRRefP25x_0" localSheetId="61">'Div 6'!$P$97:$P$98</definedName>
    <definedName name="OSRRefP25x_0" localSheetId="2">Summary!$P$252:$P$258</definedName>
    <definedName name="OSRRefT13x_0" localSheetId="41">'201'!$T$13</definedName>
    <definedName name="OSRRefT13x_0" localSheetId="42">'202'!$T$13</definedName>
    <definedName name="OSRRefT13x_0" localSheetId="48">'300'!$T$13:$T$74</definedName>
    <definedName name="OSRRefT13x_0" localSheetId="49">'300 &amp; 317'!$T$13:$T$88</definedName>
    <definedName name="OSRRefT13x_0" localSheetId="52">'307'!$T$13:$T$23</definedName>
    <definedName name="OSRRefT13x_0" localSheetId="53">'308'!$T$13:$T$33</definedName>
    <definedName name="OSRRefT13x_0" localSheetId="64">'309'!$T$13</definedName>
    <definedName name="OSRRefT13x_0" localSheetId="63">'310'!$T$13:$T$17</definedName>
    <definedName name="OSRRefT13x_0" localSheetId="71">'310 &amp; 491'!$T$13:$T$21</definedName>
    <definedName name="OSRRefT13x_0" localSheetId="54">'311'!$T$13:$T$32</definedName>
    <definedName name="OSRRefT13x_0" localSheetId="65">'313'!$T$13</definedName>
    <definedName name="OSRRefT13x_0" localSheetId="57">'315'!$T$13:$T$50</definedName>
    <definedName name="OSRRefT13x_0" localSheetId="60">'316'!$T$13:$T$22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'326'!$T$13:$T$31</definedName>
    <definedName name="OSRRefT13x_0" localSheetId="69">'327'!$T$13:$T$14</definedName>
    <definedName name="OSRRefT13x_0" localSheetId="51">'330'!$T$13:$T$23</definedName>
    <definedName name="OSRRefT13x_0" localSheetId="56">'331'!$T$13:$T$50</definedName>
    <definedName name="OSRRefT13x_0" localSheetId="59">'332'!$T$13:$T$22</definedName>
    <definedName name="OSRRefT13x_0" localSheetId="73">'405'!$T$13:$T$14</definedName>
    <definedName name="OSRRefT13x_0" localSheetId="76">'412'!$T$13</definedName>
    <definedName name="OSRRefT13x_0" localSheetId="77">'413'!$T$13:$T$14</definedName>
    <definedName name="OSRRefT13x_0" localSheetId="78">'414'!$T$13:$T$15</definedName>
    <definedName name="OSRRefT13x_0" localSheetId="79">'415'!$T$13:$T$16</definedName>
    <definedName name="OSRRefT13x_0" localSheetId="80">'418'!$T$13:$T$14</definedName>
    <definedName name="OSRRefT13x_0" localSheetId="81">'420'!$T$13</definedName>
    <definedName name="OSRRefT13x_0" localSheetId="88">'433'!$T$13:$T$16</definedName>
    <definedName name="OSRRefT13x_0" localSheetId="90">'444'!$T$13:$T$16</definedName>
    <definedName name="OSRRefT13x_0" localSheetId="91">'450'!$T$13:$T$14</definedName>
    <definedName name="OSRRefT13x_0" localSheetId="72">'491'!$T$13:$T$18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3'!$T$13:$T$76</definedName>
    <definedName name="OSRRefT13x_0" localSheetId="70">'Div 4'!$T$13:$T$20</definedName>
    <definedName name="OSRRefT13x_0" localSheetId="92">'Div 5'!$T$13</definedName>
    <definedName name="OSRRefT13x_0" localSheetId="61">'Div 6'!$T$13:$T$30</definedName>
    <definedName name="OSRRefT13x_0" localSheetId="2">Summary!$T$13:$T$95</definedName>
    <definedName name="OSRRefT16x_0" localSheetId="48">'300'!$T$77:$T$110</definedName>
    <definedName name="OSRRefT16x_0" localSheetId="49">'300 &amp; 317'!$T$91:$T$132</definedName>
    <definedName name="OSRRefT16x_0" localSheetId="52">'307'!$T$26:$T$33</definedName>
    <definedName name="OSRRefT16x_0" localSheetId="53">'308'!$T$36:$T$50</definedName>
    <definedName name="OSRRefT16x_0" localSheetId="64">'309'!$T$16</definedName>
    <definedName name="OSRRefT16x_0" localSheetId="63">'310'!$T$20:$T$22</definedName>
    <definedName name="OSRRefT16x_0" localSheetId="71">'310 &amp; 491'!$T$24:$T$26</definedName>
    <definedName name="OSRRefT16x_0" localSheetId="54">'311'!$T$35:$T$49</definedName>
    <definedName name="OSRRefT16x_0" localSheetId="65">'313'!$T$16:$T$17</definedName>
    <definedName name="OSRRefT16x_0" localSheetId="57">'315'!$T$53:$T$74</definedName>
    <definedName name="OSRRefT16x_0" localSheetId="62">'317'!$T$33:$T$43</definedName>
    <definedName name="OSRRefT16x_0" localSheetId="66">'321'!$T$18:$T$19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'326'!$T$34:$T$38</definedName>
    <definedName name="OSRRefT16x_0" localSheetId="69">'327'!$T$17:$T$18</definedName>
    <definedName name="OSRRefT16x_0" localSheetId="51">'330'!$T$26:$T$33</definedName>
    <definedName name="OSRRefT16x_0" localSheetId="56">'331'!$T$53:$T$74</definedName>
    <definedName name="OSRRefT16x_0" localSheetId="73">'405'!$T$17</definedName>
    <definedName name="OSRRefT16x_0" localSheetId="76">'412'!$T$16</definedName>
    <definedName name="OSRRefT16x_0" localSheetId="77">'413'!$T$17</definedName>
    <definedName name="OSRRefT16x_0" localSheetId="78">'414'!$T$18</definedName>
    <definedName name="OSRRefT16x_0" localSheetId="79">'415'!$T$19:$T$21</definedName>
    <definedName name="OSRRefT16x_0" localSheetId="80">'418'!$T$17</definedName>
    <definedName name="OSRRefT16x_0" localSheetId="88">'433'!$T$19:$T$21</definedName>
    <definedName name="OSRRefT16x_0" localSheetId="90">'444'!$T$19:$T$21</definedName>
    <definedName name="OSRRefT16x_0" localSheetId="91">'450'!$T$17</definedName>
    <definedName name="OSRRefT16x_0" localSheetId="72">'491'!$T$21:$T$23</definedName>
    <definedName name="OSRRefT16x_0" localSheetId="86">'492'!$T$19:$T$21</definedName>
    <definedName name="OSRRefT16x_0" localSheetId="47">'Div 3'!$T$79:$T$114</definedName>
    <definedName name="OSRRefT16x_0" localSheetId="70">'Div 4'!$T$23:$T$25</definedName>
    <definedName name="OSRRefT16x_0" localSheetId="61">'Div 6'!$T$33:$T$43</definedName>
    <definedName name="OSRRefT16x_0" localSheetId="2">Summary!$T$98:$T$141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'300'!$T$116:$T$125</definedName>
    <definedName name="OSRRefT22_0x_0" localSheetId="49">'300 &amp; 317'!$T$138:$T$147</definedName>
    <definedName name="OSRRefT22_0x_0" localSheetId="50">'301'!$T$20:$T$28</definedName>
    <definedName name="OSRRefT22_0x_0" localSheetId="52">'307'!$T$39:$T$46</definedName>
    <definedName name="OSRRefT22_0x_0" localSheetId="53">'308'!$T$56:$T$65</definedName>
    <definedName name="OSRRefT22_0x_0" localSheetId="64">'309'!$T$22:$T$29</definedName>
    <definedName name="OSRRefT22_0x_0" localSheetId="63">'310'!$T$28:$T$36</definedName>
    <definedName name="OSRRefT22_0x_0" localSheetId="71">'310 &amp; 491'!$T$32:$T$40</definedName>
    <definedName name="OSRRefT22_0x_0" localSheetId="54">'311'!$T$55:$T$64</definedName>
    <definedName name="OSRRefT22_0x_0" localSheetId="65">'313'!$T$23:$T$31</definedName>
    <definedName name="OSRRefT22_0x_0" localSheetId="57">'315'!$T$80:$T$88</definedName>
    <definedName name="OSRRefT22_0x_0" localSheetId="60">'316'!$T$30:$T$38</definedName>
    <definedName name="OSRRefT22_0x_0" localSheetId="62">'317'!$T$49:$T$58</definedName>
    <definedName name="OSRRefT22_0x_0" localSheetId="66">'321'!$T$25:$T$33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'326'!$T$44:$T$52</definedName>
    <definedName name="OSRRefT22_0x_0" localSheetId="69">'327'!$T$24</definedName>
    <definedName name="OSRRefT22_0x_0" localSheetId="51">'330'!$T$39:$T$46</definedName>
    <definedName name="OSRRefT22_0x_0" localSheetId="56">'331'!$T$80:$T$88</definedName>
    <definedName name="OSRRefT22_0x_0" localSheetId="59">'332'!$T$30:$T$38</definedName>
    <definedName name="OSRRefT22_0x_0" localSheetId="73">'405'!$T$23:$T$30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7">'413'!$T$23:$T$31</definedName>
    <definedName name="OSRRefT22_0x_0" localSheetId="78">'414'!$T$24:$T$32</definedName>
    <definedName name="OSRRefT22_0x_0" localSheetId="79">'415'!$T$27:$T$35</definedName>
    <definedName name="OSRRefT22_0x_0" localSheetId="80">'418'!$T$23:$T$30</definedName>
    <definedName name="OSRRefT22_0x_0" localSheetId="81">'420'!$T$21</definedName>
    <definedName name="OSRRefT22_0x_0" localSheetId="82">'423'!$T$20:$T$27</definedName>
    <definedName name="OSRRefT22_0x_0" localSheetId="83">'424'!$T$20</definedName>
    <definedName name="OSRRefT22_0x_0" localSheetId="84">'425'!$T$20:$T$24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'450'!$T$23:$T$32</definedName>
    <definedName name="OSRRefT22_0x_0" localSheetId="72">'491'!$T$29:$T$37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3'!$T$120:$T$129</definedName>
    <definedName name="OSRRefT22_0x_0" localSheetId="70">'Div 4'!$T$31:$T$40</definedName>
    <definedName name="OSRRefT22_0x_0" localSheetId="92">'Div 5'!$T$21:$T$30</definedName>
    <definedName name="OSRRefT22_0x_0" localSheetId="61">'Div 6'!$T$49:$T$58</definedName>
    <definedName name="OSRRefT22_0x_0" localSheetId="2">Summary!$T$147:$T$156</definedName>
    <definedName name="OSRRefT22_10x_0" localSheetId="41">'201'!$T$58:$T$60</definedName>
    <definedName name="OSRRefT22_10x_0" localSheetId="42">'202'!$T$62</definedName>
    <definedName name="OSRRefT22_10x_0" localSheetId="43">'203'!$T$62</definedName>
    <definedName name="OSRRefT22_10x_0" localSheetId="44">'204'!$T$62:$T$63</definedName>
    <definedName name="OSRRefT22_10x_0" localSheetId="48">'300'!$T$158:$T$159</definedName>
    <definedName name="OSRRefT22_10x_0" localSheetId="49">'300 &amp; 317'!$T$180:$T$181</definedName>
    <definedName name="OSRRefT22_10x_0" localSheetId="50">'301'!$T$59</definedName>
    <definedName name="OSRRefT22_10x_0" localSheetId="52">'307'!$T$77:$T$78</definedName>
    <definedName name="OSRRefT22_10x_0" localSheetId="53">'308'!$T$96</definedName>
    <definedName name="OSRRefT22_10x_0" localSheetId="63">'310'!$T$66</definedName>
    <definedName name="OSRRefT22_10x_0" localSheetId="71">'310 &amp; 491'!$T$72</definedName>
    <definedName name="OSRRefT22_10x_0" localSheetId="54">'311'!$T$95</definedName>
    <definedName name="OSRRefT22_10x_0" localSheetId="65">'313'!$T$64</definedName>
    <definedName name="OSRRefT22_10x_0" localSheetId="57">'315'!$T$118</definedName>
    <definedName name="OSRRefT22_10x_0" localSheetId="60">'316'!$T$73</definedName>
    <definedName name="OSRRefT22_10x_0" localSheetId="62">'317'!$T$88:$T$90</definedName>
    <definedName name="OSRRefT22_10x_0" localSheetId="66">'321'!$T$65:$T$67</definedName>
    <definedName name="OSRRefT22_10x_0" localSheetId="67">'322'!$T$64</definedName>
    <definedName name="OSRRefT22_10x_0" localSheetId="68">'325'!$T$62:$T$65</definedName>
    <definedName name="OSRRefT22_10x_0" localSheetId="58">'326'!$T$82</definedName>
    <definedName name="OSRRefT22_10x_0" localSheetId="51">'330'!$T$77:$T$78</definedName>
    <definedName name="OSRRefT22_10x_0" localSheetId="56">'331'!$T$119</definedName>
    <definedName name="OSRRefT22_10x_0" localSheetId="59">'332'!$T$73</definedName>
    <definedName name="OSRRefT22_10x_0" localSheetId="73">'405'!$T$61:$T$64</definedName>
    <definedName name="OSRRefT22_10x_0" localSheetId="75">'411'!$T$59:$T$62</definedName>
    <definedName name="OSRRefT22_10x_0" localSheetId="76">'412'!$T$60:$T$63</definedName>
    <definedName name="OSRRefT22_10x_0" localSheetId="77">'413'!$T$63:$T$70</definedName>
    <definedName name="OSRRefT22_10x_0" localSheetId="78">'414'!$T$62</definedName>
    <definedName name="OSRRefT22_10x_0" localSheetId="79">'415'!$T$65:$T$66</definedName>
    <definedName name="OSRRefT22_10x_0" localSheetId="80">'418'!$T$63</definedName>
    <definedName name="OSRRefT22_10x_0" localSheetId="88">'433'!$T$65</definedName>
    <definedName name="OSRRefT22_10x_0" localSheetId="90">'444'!$T$65</definedName>
    <definedName name="OSRRefT22_10x_0" localSheetId="91">'450'!$T$61</definedName>
    <definedName name="OSRRefT22_10x_0" localSheetId="72">'491'!$T$68</definedName>
    <definedName name="OSRRefT22_10x_0" localSheetId="86">'492'!$T$65</definedName>
    <definedName name="OSRRefT22_10x_0" localSheetId="93">'501'!$T$63:$T$64</definedName>
    <definedName name="OSRRefT22_10x_0" localSheetId="39">'Div 2'!$T$62</definedName>
    <definedName name="OSRRefT22_10x_0" localSheetId="47">'Div 3'!$T$162:$T$163</definedName>
    <definedName name="OSRRefT22_10x_0" localSheetId="70">'Div 4'!$T$71</definedName>
    <definedName name="OSRRefT22_10x_0" localSheetId="92">'Div 5'!$T$63:$T$64</definedName>
    <definedName name="OSRRefT22_10x_0" localSheetId="61">'Div 6'!$T$88:$T$90</definedName>
    <definedName name="OSRRefT22_10x_0" localSheetId="2">Summary!$T$190:$T$191</definedName>
    <definedName name="OSRRefT22_11x_0" localSheetId="41">'201'!$T$62</definedName>
    <definedName name="OSRRefT22_11x_0" localSheetId="42">'202'!$T$64</definedName>
    <definedName name="OSRRefT22_11x_0" localSheetId="43">'203'!$T$64:$T$66</definedName>
    <definedName name="OSRRefT22_11x_0" localSheetId="44">'204'!$T$65</definedName>
    <definedName name="OSRRefT22_11x_0" localSheetId="48">'300'!$T$161:$T$163</definedName>
    <definedName name="OSRRefT22_11x_0" localSheetId="49">'300 &amp; 317'!$T$183:$T$185</definedName>
    <definedName name="OSRRefT22_11x_0" localSheetId="50">'301'!$T$61</definedName>
    <definedName name="OSRRefT22_11x_0" localSheetId="52">'307'!$T$80:$T$83</definedName>
    <definedName name="OSRRefT22_11x_0" localSheetId="53">'308'!$T$98:$T$100</definedName>
    <definedName name="OSRRefT22_11x_0" localSheetId="63">'310'!$T$68</definedName>
    <definedName name="OSRRefT22_11x_0" localSheetId="71">'310 &amp; 491'!$T$74</definedName>
    <definedName name="OSRRefT22_11x_0" localSheetId="54">'311'!$T$97:$T$99</definedName>
    <definedName name="OSRRefT22_11x_0" localSheetId="65">'313'!$T$66</definedName>
    <definedName name="OSRRefT22_11x_0" localSheetId="57">'315'!$T$120</definedName>
    <definedName name="OSRRefT22_11x_0" localSheetId="60">'316'!$T$75</definedName>
    <definedName name="OSRRefT22_11x_0" localSheetId="62">'317'!$T$92</definedName>
    <definedName name="OSRRefT22_11x_0" localSheetId="66">'321'!$T$69:$T$70</definedName>
    <definedName name="OSRRefT22_11x_0" localSheetId="67">'322'!$T$66</definedName>
    <definedName name="OSRRefT22_11x_0" localSheetId="68">'325'!$T$67:$T$69</definedName>
    <definedName name="OSRRefT22_11x_0" localSheetId="58">'326'!$T$84</definedName>
    <definedName name="OSRRefT22_11x_0" localSheetId="51">'330'!$T$80:$T$83</definedName>
    <definedName name="OSRRefT22_11x_0" localSheetId="56">'331'!$T$121</definedName>
    <definedName name="OSRRefT22_11x_0" localSheetId="59">'332'!$T$75</definedName>
    <definedName name="OSRRefT22_11x_0" localSheetId="73">'405'!$T$66</definedName>
    <definedName name="OSRRefT22_11x_0" localSheetId="75">'411'!$T$64:$T$70</definedName>
    <definedName name="OSRRefT22_11x_0" localSheetId="76">'412'!$T$65:$T$69</definedName>
    <definedName name="OSRRefT22_11x_0" localSheetId="77">'413'!$T$72:$T$73</definedName>
    <definedName name="OSRRefT22_11x_0" localSheetId="78">'414'!$T$64</definedName>
    <definedName name="OSRRefT22_11x_0" localSheetId="79">'415'!$T$68:$T$72</definedName>
    <definedName name="OSRRefT22_11x_0" localSheetId="80">'418'!$T$65:$T$74</definedName>
    <definedName name="OSRRefT22_11x_0" localSheetId="88">'433'!$T$67:$T$68</definedName>
    <definedName name="OSRRefT22_11x_0" localSheetId="90">'444'!$T$67:$T$70</definedName>
    <definedName name="OSRRefT22_11x_0" localSheetId="91">'450'!$T$63</definedName>
    <definedName name="OSRRefT22_11x_0" localSheetId="72">'491'!$T$70</definedName>
    <definedName name="OSRRefT22_11x_0" localSheetId="86">'492'!$T$67</definedName>
    <definedName name="OSRRefT22_11x_0" localSheetId="93">'501'!$T$66</definedName>
    <definedName name="OSRRefT22_11x_0" localSheetId="39">'Div 2'!$T$64:$T$65</definedName>
    <definedName name="OSRRefT22_11x_0" localSheetId="47">'Div 3'!$T$165:$T$167</definedName>
    <definedName name="OSRRefT22_11x_0" localSheetId="70">'Div 4'!$T$73</definedName>
    <definedName name="OSRRefT22_11x_0" localSheetId="92">'Div 5'!$T$66</definedName>
    <definedName name="OSRRefT22_11x_0" localSheetId="61">'Div 6'!$T$92</definedName>
    <definedName name="OSRRefT22_11x_0" localSheetId="2">Summary!$T$193:$T$195</definedName>
    <definedName name="OSRRefT22_12x_0" localSheetId="41">'201'!$T$64</definedName>
    <definedName name="OSRRefT22_12x_0" localSheetId="42">'202'!$T$66</definedName>
    <definedName name="OSRRefT22_12x_0" localSheetId="43">'203'!$T$68</definedName>
    <definedName name="OSRRefT22_12x_0" localSheetId="48">'300'!$T$165</definedName>
    <definedName name="OSRRefT22_12x_0" localSheetId="49">'300 &amp; 317'!$T$187</definedName>
    <definedName name="OSRRefT22_12x_0" localSheetId="50">'301'!$T$63</definedName>
    <definedName name="OSRRefT22_12x_0" localSheetId="52">'307'!$T$85:$T$86</definedName>
    <definedName name="OSRRefT22_12x_0" localSheetId="53">'308'!$T$102:$T$103</definedName>
    <definedName name="OSRRefT22_12x_0" localSheetId="63">'310'!$T$70:$T$73</definedName>
    <definedName name="OSRRefT22_12x_0" localSheetId="71">'310 &amp; 491'!$T$76</definedName>
    <definedName name="OSRRefT22_12x_0" localSheetId="54">'311'!$T$101:$T$102</definedName>
    <definedName name="OSRRefT22_12x_0" localSheetId="57">'315'!$T$122:$T$124</definedName>
    <definedName name="OSRRefT22_12x_0" localSheetId="62">'317'!$T$94</definedName>
    <definedName name="OSRRefT22_12x_0" localSheetId="66">'321'!$T$72</definedName>
    <definedName name="OSRRefT22_12x_0" localSheetId="68">'325'!$T$71</definedName>
    <definedName name="OSRRefT22_12x_0" localSheetId="58">'326'!$T$86</definedName>
    <definedName name="OSRRefT22_12x_0" localSheetId="51">'330'!$T$85:$T$86</definedName>
    <definedName name="OSRRefT22_12x_0" localSheetId="56">'331'!$T$123</definedName>
    <definedName name="OSRRefT22_12x_0" localSheetId="73">'405'!$T$68:$T$76</definedName>
    <definedName name="OSRRefT22_12x_0" localSheetId="75">'411'!$T$72</definedName>
    <definedName name="OSRRefT22_12x_0" localSheetId="76">'412'!$T$71:$T$72</definedName>
    <definedName name="OSRRefT22_12x_0" localSheetId="77">'413'!$T$75</definedName>
    <definedName name="OSRRefT22_12x_0" localSheetId="78">'414'!$T$66:$T$68</definedName>
    <definedName name="OSRRefT22_12x_0" localSheetId="79">'415'!$T$74</definedName>
    <definedName name="OSRRefT22_12x_0" localSheetId="80">'418'!$T$76:$T$77</definedName>
    <definedName name="OSRRefT22_12x_0" localSheetId="88">'433'!$T$70:$T$73</definedName>
    <definedName name="OSRRefT22_12x_0" localSheetId="90">'444'!$T$72:$T$74</definedName>
    <definedName name="OSRRefT22_12x_0" localSheetId="91">'450'!$T$65</definedName>
    <definedName name="OSRRefT22_12x_0" localSheetId="72">'491'!$T$72</definedName>
    <definedName name="OSRRefT22_12x_0" localSheetId="86">'492'!$T$69:$T$72</definedName>
    <definedName name="OSRRefT22_12x_0" localSheetId="39">'Div 2'!$T$67:$T$70</definedName>
    <definedName name="OSRRefT22_12x_0" localSheetId="47">'Div 3'!$T$169</definedName>
    <definedName name="OSRRefT22_12x_0" localSheetId="70">'Div 4'!$T$75</definedName>
    <definedName name="OSRRefT22_12x_0" localSheetId="61">'Div 6'!$T$94</definedName>
    <definedName name="OSRRefT22_12x_0" localSheetId="2">Summary!$T$197</definedName>
    <definedName name="OSRRefT22_13x_0" localSheetId="41">'201'!$T$66:$T$68</definedName>
    <definedName name="OSRRefT22_13x_0" localSheetId="43">'203'!$T$70</definedName>
    <definedName name="OSRRefT22_13x_0" localSheetId="48">'300'!$T$167</definedName>
    <definedName name="OSRRefT22_13x_0" localSheetId="49">'300 &amp; 317'!$T$189</definedName>
    <definedName name="OSRRefT22_13x_0" localSheetId="50">'301'!$T$65</definedName>
    <definedName name="OSRRefT22_13x_0" localSheetId="52">'307'!$T$88</definedName>
    <definedName name="OSRRefT22_13x_0" localSheetId="53">'308'!$T$105</definedName>
    <definedName name="OSRRefT22_13x_0" localSheetId="63">'310'!$T$75:$T$76</definedName>
    <definedName name="OSRRefT22_13x_0" localSheetId="71">'310 &amp; 491'!$T$78:$T$81</definedName>
    <definedName name="OSRRefT22_13x_0" localSheetId="54">'311'!$T$104</definedName>
    <definedName name="OSRRefT22_13x_0" localSheetId="57">'315'!$T$126:$T$127</definedName>
    <definedName name="OSRRefT22_13x_0" localSheetId="66">'321'!$T$74</definedName>
    <definedName name="OSRRefT22_13x_0" localSheetId="68">'325'!$T$73:$T$77</definedName>
    <definedName name="OSRRefT22_13x_0" localSheetId="58">'326'!$T$88:$T$89</definedName>
    <definedName name="OSRRefT22_13x_0" localSheetId="51">'330'!$T$88</definedName>
    <definedName name="OSRRefT22_13x_0" localSheetId="56">'331'!$T$125</definedName>
    <definedName name="OSRRefT22_13x_0" localSheetId="73">'405'!$T$78</definedName>
    <definedName name="OSRRefT22_13x_0" localSheetId="75">'411'!$T$74</definedName>
    <definedName name="OSRRefT22_13x_0" localSheetId="76">'412'!$T$74</definedName>
    <definedName name="OSRRefT22_13x_0" localSheetId="78">'414'!$T$70</definedName>
    <definedName name="OSRRefT22_13x_0" localSheetId="79">'415'!$T$76:$T$82</definedName>
    <definedName name="OSRRefT22_13x_0" localSheetId="80">'418'!$T$79</definedName>
    <definedName name="OSRRefT22_13x_0" localSheetId="88">'433'!$T$75:$T$82</definedName>
    <definedName name="OSRRefT22_13x_0" localSheetId="90">'444'!$T$76</definedName>
    <definedName name="OSRRefT22_13x_0" localSheetId="91">'450'!$T$67:$T$69</definedName>
    <definedName name="OSRRefT22_13x_0" localSheetId="72">'491'!$T$74:$T$77</definedName>
    <definedName name="OSRRefT22_13x_0" localSheetId="86">'492'!$T$74:$T$77</definedName>
    <definedName name="OSRRefT22_13x_0" localSheetId="39">'Div 2'!$T$72:$T$75</definedName>
    <definedName name="OSRRefT22_13x_0" localSheetId="47">'Div 3'!$T$171</definedName>
    <definedName name="OSRRefT22_13x_0" localSheetId="70">'Div 4'!$T$77</definedName>
    <definedName name="OSRRefT22_13x_0" localSheetId="2">Summary!$T$199</definedName>
    <definedName name="OSRRefT22_14x_0" localSheetId="41">'201'!$T$70</definedName>
    <definedName name="OSRRefT22_14x_0" localSheetId="43">'203'!$T$72</definedName>
    <definedName name="OSRRefT22_14x_0" localSheetId="48">'300'!$T$169</definedName>
    <definedName name="OSRRefT22_14x_0" localSheetId="49">'300 &amp; 317'!$T$191</definedName>
    <definedName name="OSRRefT22_14x_0" localSheetId="50">'301'!$T$67:$T$70</definedName>
    <definedName name="OSRRefT22_14x_0" localSheetId="63">'310'!$T$78:$T$81</definedName>
    <definedName name="OSRRefT22_14x_0" localSheetId="71">'310 &amp; 491'!$T$83:$T$84</definedName>
    <definedName name="OSRRefT22_14x_0" localSheetId="57">'315'!$T$129:$T$135</definedName>
    <definedName name="OSRRefT22_14x_0" localSheetId="68">'325'!$T$79:$T$80</definedName>
    <definedName name="OSRRefT22_14x_0" localSheetId="58">'326'!$T$91:$T$93</definedName>
    <definedName name="OSRRefT22_14x_0" localSheetId="56">'331'!$T$127:$T$128</definedName>
    <definedName name="OSRRefT22_14x_0" localSheetId="73">'405'!$T$80</definedName>
    <definedName name="OSRRefT22_14x_0" localSheetId="75">'411'!$T$76</definedName>
    <definedName name="OSRRefT22_14x_0" localSheetId="78">'414'!$T$72</definedName>
    <definedName name="OSRRefT22_14x_0" localSheetId="79">'415'!$T$84:$T$85</definedName>
    <definedName name="OSRRefT22_14x_0" localSheetId="88">'433'!$T$84</definedName>
    <definedName name="OSRRefT22_14x_0" localSheetId="90">'444'!$T$78:$T$86</definedName>
    <definedName name="OSRRefT22_14x_0" localSheetId="91">'450'!$T$71:$T$77</definedName>
    <definedName name="OSRRefT22_14x_0" localSheetId="72">'491'!$T$79:$T$80</definedName>
    <definedName name="OSRRefT22_14x_0" localSheetId="86">'492'!$T$79</definedName>
    <definedName name="OSRRefT22_14x_0" localSheetId="39">'Div 2'!$T$77:$T$78</definedName>
    <definedName name="OSRRefT22_14x_0" localSheetId="47">'Div 3'!$T$173</definedName>
    <definedName name="OSRRefT22_14x_0" localSheetId="70">'Div 4'!$T$79</definedName>
    <definedName name="OSRRefT22_14x_0" localSheetId="2">Summary!$T$201</definedName>
    <definedName name="OSRRefT22_15x_0" localSheetId="41">'201'!$T$72</definedName>
    <definedName name="OSRRefT22_15x_0" localSheetId="48">'300'!$T$171</definedName>
    <definedName name="OSRRefT22_15x_0" localSheetId="49">'300 &amp; 317'!$T$193</definedName>
    <definedName name="OSRRefT22_15x_0" localSheetId="50">'301'!$T$72:$T$74</definedName>
    <definedName name="OSRRefT22_15x_0" localSheetId="63">'310'!$T$83</definedName>
    <definedName name="OSRRefT22_15x_0" localSheetId="71">'310 &amp; 491'!$T$86:$T$90</definedName>
    <definedName name="OSRRefT22_15x_0" localSheetId="57">'315'!$T$137</definedName>
    <definedName name="OSRRefT22_15x_0" localSheetId="68">'325'!$T$82</definedName>
    <definedName name="OSRRefT22_15x_0" localSheetId="58">'326'!$T$95:$T$96</definedName>
    <definedName name="OSRRefT22_15x_0" localSheetId="56">'331'!$T$130:$T$132</definedName>
    <definedName name="OSRRefT22_15x_0" localSheetId="73">'405'!$T$82</definedName>
    <definedName name="OSRRefT22_15x_0" localSheetId="78">'414'!$T$74</definedName>
    <definedName name="OSRRefT22_15x_0" localSheetId="79">'415'!$T$87</definedName>
    <definedName name="OSRRefT22_15x_0" localSheetId="90">'444'!$T$88:$T$89</definedName>
    <definedName name="OSRRefT22_15x_0" localSheetId="91">'450'!$T$79:$T$80</definedName>
    <definedName name="OSRRefT22_15x_0" localSheetId="72">'491'!$T$82:$T$86</definedName>
    <definedName name="OSRRefT22_15x_0" localSheetId="86">'492'!$T$81:$T$90</definedName>
    <definedName name="OSRRefT22_15x_0" localSheetId="39">'Div 2'!$T$80:$T$81</definedName>
    <definedName name="OSRRefT22_15x_0" localSheetId="47">'Div 3'!$T$175</definedName>
    <definedName name="OSRRefT22_15x_0" localSheetId="70">'Div 4'!$T$81:$T$84</definedName>
    <definedName name="OSRRefT22_15x_0" localSheetId="2">Summary!$T$203</definedName>
    <definedName name="OSRRefT22_16x_0" localSheetId="41">'201'!$T$74</definedName>
    <definedName name="OSRRefT22_16x_0" localSheetId="48">'300'!$T$173:$T$176</definedName>
    <definedName name="OSRRefT22_16x_0" localSheetId="49">'300 &amp; 317'!$T$195:$T$198</definedName>
    <definedName name="OSRRefT22_16x_0" localSheetId="50">'301'!$T$76</definedName>
    <definedName name="OSRRefT22_16x_0" localSheetId="63">'310'!$T$85:$T$91</definedName>
    <definedName name="OSRRefT22_16x_0" localSheetId="71">'310 &amp; 491'!$T$92</definedName>
    <definedName name="OSRRefT22_16x_0" localSheetId="57">'315'!$T$139:$T$140</definedName>
    <definedName name="OSRRefT22_16x_0" localSheetId="68">'325'!$T$84</definedName>
    <definedName name="OSRRefT22_16x_0" localSheetId="58">'326'!$T$98:$T$103</definedName>
    <definedName name="OSRRefT22_16x_0" localSheetId="56">'331'!$T$134:$T$136</definedName>
    <definedName name="OSRRefT22_16x_0" localSheetId="79">'415'!$T$89:$T$90</definedName>
    <definedName name="OSRRefT22_16x_0" localSheetId="90">'444'!$T$91</definedName>
    <definedName name="OSRRefT22_16x_0" localSheetId="91">'450'!$T$82</definedName>
    <definedName name="OSRRefT22_16x_0" localSheetId="72">'491'!$T$88</definedName>
    <definedName name="OSRRefT22_16x_0" localSheetId="86">'492'!$T$92:$T$93</definedName>
    <definedName name="OSRRefT22_16x_0" localSheetId="39">'Div 2'!$T$83:$T$87</definedName>
    <definedName name="OSRRefT22_16x_0" localSheetId="47">'Div 3'!$T$177</definedName>
    <definedName name="OSRRefT22_16x_0" localSheetId="70">'Div 4'!$T$86:$T$87</definedName>
    <definedName name="OSRRefT22_16x_0" localSheetId="2">Summary!$T$205</definedName>
    <definedName name="OSRRefT22_17x_0" localSheetId="48">'300'!$T$178:$T$181</definedName>
    <definedName name="OSRRefT22_17x_0" localSheetId="49">'300 &amp; 317'!$T$200:$T$203</definedName>
    <definedName name="OSRRefT22_17x_0" localSheetId="50">'301'!$T$78:$T$84</definedName>
    <definedName name="OSRRefT22_17x_0" localSheetId="63">'310'!$T$93:$T$94</definedName>
    <definedName name="OSRRefT22_17x_0" localSheetId="71">'310 &amp; 491'!$T$94:$T$104</definedName>
    <definedName name="OSRRefT22_17x_0" localSheetId="58">'326'!$T$105:$T$106</definedName>
    <definedName name="OSRRefT22_17x_0" localSheetId="56">'331'!$T$138:$T$139</definedName>
    <definedName name="OSRRefT22_17x_0" localSheetId="79">'415'!$T$92</definedName>
    <definedName name="OSRRefT22_17x_0" localSheetId="72">'491'!$T$90:$T$100</definedName>
    <definedName name="OSRRefT22_17x_0" localSheetId="86">'492'!$T$95</definedName>
    <definedName name="OSRRefT22_17x_0" localSheetId="39">'Div 2'!$T$89:$T$90</definedName>
    <definedName name="OSRRefT22_17x_0" localSheetId="47">'Div 3'!$T$179:$T$182</definedName>
    <definedName name="OSRRefT22_17x_0" localSheetId="70">'Div 4'!$T$89:$T$93</definedName>
    <definedName name="OSRRefT22_17x_0" localSheetId="2">Summary!$T$207</definedName>
    <definedName name="OSRRefT22_18x_0" localSheetId="48">'300'!$T$183:$T$186</definedName>
    <definedName name="OSRRefT22_18x_0" localSheetId="49">'300 &amp; 317'!$T$205:$T$208</definedName>
    <definedName name="OSRRefT22_18x_0" localSheetId="50">'301'!$T$86</definedName>
    <definedName name="OSRRefT22_18x_0" localSheetId="63">'310'!$T$96</definedName>
    <definedName name="OSRRefT22_18x_0" localSheetId="71">'310 &amp; 491'!$T$106:$T$107</definedName>
    <definedName name="OSRRefT22_18x_0" localSheetId="58">'326'!$T$108</definedName>
    <definedName name="OSRRefT22_18x_0" localSheetId="56">'331'!$T$141:$T$148</definedName>
    <definedName name="OSRRefT22_18x_0" localSheetId="72">'491'!$T$102:$T$103</definedName>
    <definedName name="OSRRefT22_18x_0" localSheetId="86">'492'!$T$97</definedName>
    <definedName name="OSRRefT22_18x_0" localSheetId="39">'Div 2'!$T$92</definedName>
    <definedName name="OSRRefT22_18x_0" localSheetId="47">'Div 3'!$T$184:$T$187</definedName>
    <definedName name="OSRRefT22_18x_0" localSheetId="70">'Div 4'!$T$95:$T$96</definedName>
    <definedName name="OSRRefT22_18x_0" localSheetId="2">Summary!$T$209:$T$212</definedName>
    <definedName name="OSRRefT22_19x_0" localSheetId="48">'300'!$T$188:$T$189</definedName>
    <definedName name="OSRRefT22_19x_0" localSheetId="49">'300 &amp; 317'!$T$210:$T$211</definedName>
    <definedName name="OSRRefT22_19x_0" localSheetId="50">'301'!$T$88</definedName>
    <definedName name="OSRRefT22_19x_0" localSheetId="63">'310'!$T$98</definedName>
    <definedName name="OSRRefT22_19x_0" localSheetId="71">'310 &amp; 491'!$T$109</definedName>
    <definedName name="OSRRefT22_19x_0" localSheetId="58">'326'!$T$110:$T$111</definedName>
    <definedName name="OSRRefT22_19x_0" localSheetId="56">'331'!$T$150:$T$151</definedName>
    <definedName name="OSRRefT22_19x_0" localSheetId="72">'491'!$T$105</definedName>
    <definedName name="OSRRefT22_19x_0" localSheetId="39">'Div 2'!$T$94:$T$95</definedName>
    <definedName name="OSRRefT22_19x_0" localSheetId="47">'Div 3'!$T$189:$T$193</definedName>
    <definedName name="OSRRefT22_19x_0" localSheetId="70">'Div 4'!$T$98:$T$108</definedName>
    <definedName name="OSRRefT22_19x_0" localSheetId="2">Summary!$T$214:$T$217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'300'!$T$127:$T$136</definedName>
    <definedName name="OSRRefT22_1x_0" localSheetId="49">'300 &amp; 317'!$T$149:$T$158</definedName>
    <definedName name="OSRRefT22_1x_0" localSheetId="50">'301'!$T$30:$T$39</definedName>
    <definedName name="OSRRefT22_1x_0" localSheetId="52">'307'!$T$48:$T$57</definedName>
    <definedName name="OSRRefT22_1x_0" localSheetId="53">'308'!$T$67:$T$76</definedName>
    <definedName name="OSRRefT22_1x_0" localSheetId="64">'309'!$T$31:$T$40</definedName>
    <definedName name="OSRRefT22_1x_0" localSheetId="63">'310'!$T$38:$T$47</definedName>
    <definedName name="OSRRefT22_1x_0" localSheetId="71">'310 &amp; 491'!$T$42:$T$51</definedName>
    <definedName name="OSRRefT22_1x_0" localSheetId="54">'311'!$T$66:$T$75</definedName>
    <definedName name="OSRRefT22_1x_0" localSheetId="65">'313'!$T$33:$T$42</definedName>
    <definedName name="OSRRefT22_1x_0" localSheetId="57">'315'!$T$90:$T$99</definedName>
    <definedName name="OSRRefT22_1x_0" localSheetId="60">'316'!$T$40:$T$49</definedName>
    <definedName name="OSRRefT22_1x_0" localSheetId="62">'317'!$T$60:$T$69</definedName>
    <definedName name="OSRRefT22_1x_0" localSheetId="66">'321'!$T$35:$T$44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'326'!$T$54:$T$63</definedName>
    <definedName name="OSRRefT22_1x_0" localSheetId="51">'330'!$T$48:$T$57</definedName>
    <definedName name="OSRRefT22_1x_0" localSheetId="56">'331'!$T$90:$T$99</definedName>
    <definedName name="OSRRefT22_1x_0" localSheetId="59">'332'!$T$40:$T$49</definedName>
    <definedName name="OSRRefT22_1x_0" localSheetId="73">'405'!$T$32:$T$41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7">'413'!$T$33:$T$42</definedName>
    <definedName name="OSRRefT22_1x_0" localSheetId="78">'414'!$T$34:$T$43</definedName>
    <definedName name="OSRRefT22_1x_0" localSheetId="79">'415'!$T$37:$T$46</definedName>
    <definedName name="OSRRefT22_1x_0" localSheetId="80">'418'!$T$32:$T$41</definedName>
    <definedName name="OSRRefT22_1x_0" localSheetId="82">'423'!$T$29:$T$38</definedName>
    <definedName name="OSRRefT22_1x_0" localSheetId="83">'424'!$T$22</definedName>
    <definedName name="OSRRefT22_1x_0" localSheetId="84">'425'!$T$26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'450'!$T$34:$T$43</definedName>
    <definedName name="OSRRefT22_1x_0" localSheetId="72">'491'!$T$39:$T$48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3'!$T$131:$T$140</definedName>
    <definedName name="OSRRefT22_1x_0" localSheetId="70">'Div 4'!$T$42:$T$51</definedName>
    <definedName name="OSRRefT22_1x_0" localSheetId="92">'Div 5'!$T$32:$T$41</definedName>
    <definedName name="OSRRefT22_1x_0" localSheetId="61">'Div 6'!$T$60:$T$69</definedName>
    <definedName name="OSRRefT22_1x_0" localSheetId="2">Summary!$T$158:$T$167</definedName>
    <definedName name="OSRRefT22_20x_0" localSheetId="48">'300'!$T$191:$T$199</definedName>
    <definedName name="OSRRefT22_20x_0" localSheetId="49">'300 &amp; 317'!$T$213:$T$221</definedName>
    <definedName name="OSRRefT22_20x_0" localSheetId="50">'301'!$T$90:$T$91</definedName>
    <definedName name="OSRRefT22_20x_0" localSheetId="63">'310'!$T$100</definedName>
    <definedName name="OSRRefT22_20x_0" localSheetId="71">'310 &amp; 491'!$T$111:$T$113</definedName>
    <definedName name="OSRRefT22_20x_0" localSheetId="58">'326'!$T$113</definedName>
    <definedName name="OSRRefT22_20x_0" localSheetId="56">'331'!$T$153</definedName>
    <definedName name="OSRRefT22_20x_0" localSheetId="72">'491'!$T$107:$T$109</definedName>
    <definedName name="OSRRefT22_20x_0" localSheetId="47">'Div 3'!$T$195:$T$196</definedName>
    <definedName name="OSRRefT22_20x_0" localSheetId="70">'Div 4'!$T$110:$T$111</definedName>
    <definedName name="OSRRefT22_20x_0" localSheetId="2">Summary!$T$219:$T$223</definedName>
    <definedName name="OSRRefT22_21x_0" localSheetId="48">'300'!$T$201:$T$202</definedName>
    <definedName name="OSRRefT22_21x_0" localSheetId="49">'300 &amp; 317'!$T$223:$T$224</definedName>
    <definedName name="OSRRefT22_21x_0" localSheetId="50">'301'!$T$93</definedName>
    <definedName name="OSRRefT22_21x_0" localSheetId="71">'310 &amp; 491'!$T$115</definedName>
    <definedName name="OSRRefT22_21x_0" localSheetId="56">'331'!$T$155:$T$156</definedName>
    <definedName name="OSRRefT22_21x_0" localSheetId="72">'491'!$T$111</definedName>
    <definedName name="OSRRefT22_21x_0" localSheetId="47">'Div 3'!$T$198:$T$206</definedName>
    <definedName name="OSRRefT22_21x_0" localSheetId="70">'Div 4'!$T$113</definedName>
    <definedName name="OSRRefT22_21x_0" localSheetId="2">Summary!$T$225:$T$226</definedName>
    <definedName name="OSRRefT22_22x_0" localSheetId="48">'300'!$T$204</definedName>
    <definedName name="OSRRefT22_22x_0" localSheetId="49">'300 &amp; 317'!$T$226</definedName>
    <definedName name="OSRRefT22_22x_0" localSheetId="56">'331'!$T$158</definedName>
    <definedName name="OSRRefT22_22x_0" localSheetId="47">'Div 3'!$T$208:$T$209</definedName>
    <definedName name="OSRRefT22_22x_0" localSheetId="70">'Div 4'!$T$115:$T$117</definedName>
    <definedName name="OSRRefT22_22x_0" localSheetId="2">Summary!$T$228:$T$238</definedName>
    <definedName name="OSRRefT22_23x_0" localSheetId="48">'300'!$T$206:$T$208</definedName>
    <definedName name="OSRRefT22_23x_0" localSheetId="49">'300 &amp; 317'!$T$228:$T$230</definedName>
    <definedName name="OSRRefT22_23x_0" localSheetId="47">'Div 3'!$T$211</definedName>
    <definedName name="OSRRefT22_23x_0" localSheetId="70">'Div 4'!$T$119</definedName>
    <definedName name="OSRRefT22_23x_0" localSheetId="2">Summary!$T$240:$T$241</definedName>
    <definedName name="OSRRefT22_24x_0" localSheetId="48">'300'!$T$210</definedName>
    <definedName name="OSRRefT22_24x_0" localSheetId="49">'300 &amp; 317'!$T$232</definedName>
    <definedName name="OSRRefT22_24x_0" localSheetId="47">'Div 3'!$T$213:$T$215</definedName>
    <definedName name="OSRRefT22_24x_0" localSheetId="2">Summary!$T$243</definedName>
    <definedName name="OSRRefT22_25x_0" localSheetId="47">'Div 3'!$T$217</definedName>
    <definedName name="OSRRefT22_25x_0" localSheetId="2">Summary!$T$245:$T$247</definedName>
    <definedName name="OSRRefT22_26x_0" localSheetId="2">Summary!$T$249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'300'!$T$138</definedName>
    <definedName name="OSRRefT22_2x_0" localSheetId="49">'300 &amp; 317'!$T$160</definedName>
    <definedName name="OSRRefT22_2x_0" localSheetId="50">'301'!$T$41</definedName>
    <definedName name="OSRRefT22_2x_0" localSheetId="52">'307'!$T$59</definedName>
    <definedName name="OSRRefT22_2x_0" localSheetId="53">'308'!$T$78</definedName>
    <definedName name="OSRRefT22_2x_0" localSheetId="64">'309'!$T$42</definedName>
    <definedName name="OSRRefT22_2x_0" localSheetId="63">'310'!$T$49</definedName>
    <definedName name="OSRRefT22_2x_0" localSheetId="71">'310 &amp; 491'!$T$53</definedName>
    <definedName name="OSRRefT22_2x_0" localSheetId="54">'311'!$T$77</definedName>
    <definedName name="OSRRefT22_2x_0" localSheetId="65">'313'!$T$44</definedName>
    <definedName name="OSRRefT22_2x_0" localSheetId="57">'315'!$T$101</definedName>
    <definedName name="OSRRefT22_2x_0" localSheetId="60">'316'!$T$51</definedName>
    <definedName name="OSRRefT22_2x_0" localSheetId="62">'317'!$T$71</definedName>
    <definedName name="OSRRefT22_2x_0" localSheetId="66">'321'!$T$46</definedName>
    <definedName name="OSRRefT22_2x_0" localSheetId="67">'322'!$T$43</definedName>
    <definedName name="OSRRefT22_2x_0" localSheetId="68">'325'!$T$45</definedName>
    <definedName name="OSRRefT22_2x_0" localSheetId="58">'326'!$T$65</definedName>
    <definedName name="OSRRefT22_2x_0" localSheetId="51">'330'!$T$59</definedName>
    <definedName name="OSRRefT22_2x_0" localSheetId="56">'331'!$T$101</definedName>
    <definedName name="OSRRefT22_2x_0" localSheetId="59">'332'!$T$51</definedName>
    <definedName name="OSRRefT22_2x_0" localSheetId="73">'405'!$T$43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7">'413'!$T$44</definedName>
    <definedName name="OSRRefT22_2x_0" localSheetId="78">'414'!$T$45</definedName>
    <definedName name="OSRRefT22_2x_0" localSheetId="79">'415'!$T$48</definedName>
    <definedName name="OSRRefT22_2x_0" localSheetId="80">'418'!$T$43</definedName>
    <definedName name="OSRRefT22_2x_0" localSheetId="82">'423'!$T$40</definedName>
    <definedName name="OSRRefT22_2x_0" localSheetId="83">'424'!$T$24</definedName>
    <definedName name="OSRRefT22_2x_0" localSheetId="84">'425'!$T$28</definedName>
    <definedName name="OSRRefT22_2x_0" localSheetId="87">'430'!$T$41</definedName>
    <definedName name="OSRRefT22_2x_0" localSheetId="88">'433'!$T$49</definedName>
    <definedName name="OSRRefT22_2x_0" localSheetId="90">'444'!$T$49</definedName>
    <definedName name="OSRRefT22_2x_0" localSheetId="91">'450'!$T$45</definedName>
    <definedName name="OSRRefT22_2x_0" localSheetId="72">'491'!$T$50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3'!$T$142</definedName>
    <definedName name="OSRRefT22_2x_0" localSheetId="70">'Div 4'!$T$53</definedName>
    <definedName name="OSRRefT22_2x_0" localSheetId="92">'Div 5'!$T$43</definedName>
    <definedName name="OSRRefT22_2x_0" localSheetId="61">'Div 6'!$T$71</definedName>
    <definedName name="OSRRefT22_2x_0" localSheetId="2">Summary!$T$169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'300'!$T$140:$T$141</definedName>
    <definedName name="OSRRefT22_3x_0" localSheetId="49">'300 &amp; 317'!$T$162:$T$163</definedName>
    <definedName name="OSRRefT22_3x_0" localSheetId="50">'301'!$T$43:$T$44</definedName>
    <definedName name="OSRRefT22_3x_0" localSheetId="52">'307'!$T$61</definedName>
    <definedName name="OSRRefT22_3x_0" localSheetId="53">'308'!$T$80</definedName>
    <definedName name="OSRRefT22_3x_0" localSheetId="64">'309'!$T$44</definedName>
    <definedName name="OSRRefT22_3x_0" localSheetId="63">'310'!$T$51</definedName>
    <definedName name="OSRRefT22_3x_0" localSheetId="71">'310 &amp; 491'!$T$55</definedName>
    <definedName name="OSRRefT22_3x_0" localSheetId="54">'311'!$T$79</definedName>
    <definedName name="OSRRefT22_3x_0" localSheetId="65">'313'!$T$46</definedName>
    <definedName name="OSRRefT22_3x_0" localSheetId="57">'315'!$T$103</definedName>
    <definedName name="OSRRefT22_3x_0" localSheetId="60">'316'!$T$53</definedName>
    <definedName name="OSRRefT22_3x_0" localSheetId="62">'317'!$T$73</definedName>
    <definedName name="OSRRefT22_3x_0" localSheetId="66">'321'!$T$48</definedName>
    <definedName name="OSRRefT22_3x_0" localSheetId="67">'322'!$T$45</definedName>
    <definedName name="OSRRefT22_3x_0" localSheetId="68">'325'!$T$47</definedName>
    <definedName name="OSRRefT22_3x_0" localSheetId="58">'326'!$T$67</definedName>
    <definedName name="OSRRefT22_3x_0" localSheetId="51">'330'!$T$61</definedName>
    <definedName name="OSRRefT22_3x_0" localSheetId="56">'331'!$T$103</definedName>
    <definedName name="OSRRefT22_3x_0" localSheetId="59">'332'!$T$53</definedName>
    <definedName name="OSRRefT22_3x_0" localSheetId="73">'405'!$T$45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7">'413'!$T$46</definedName>
    <definedName name="OSRRefT22_3x_0" localSheetId="78">'414'!$T$47</definedName>
    <definedName name="OSRRefT22_3x_0" localSheetId="79">'415'!$T$50</definedName>
    <definedName name="OSRRefT22_3x_0" localSheetId="80">'418'!$T$45</definedName>
    <definedName name="OSRRefT22_3x_0" localSheetId="82">'423'!$T$42:$T$43</definedName>
    <definedName name="OSRRefT22_3x_0" localSheetId="83">'424'!$T$26</definedName>
    <definedName name="OSRRefT22_3x_0" localSheetId="84">'425'!$T$30</definedName>
    <definedName name="OSRRefT22_3x_0" localSheetId="87">'430'!$T$43:$T$45</definedName>
    <definedName name="OSRRefT22_3x_0" localSheetId="88">'433'!$T$51</definedName>
    <definedName name="OSRRefT22_3x_0" localSheetId="90">'444'!$T$51</definedName>
    <definedName name="OSRRefT22_3x_0" localSheetId="91">'450'!$T$47</definedName>
    <definedName name="OSRRefT22_3x_0" localSheetId="72">'491'!$T$52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3'!$T$144:$T$145</definedName>
    <definedName name="OSRRefT22_3x_0" localSheetId="70">'Div 4'!$T$55</definedName>
    <definedName name="OSRRefT22_3x_0" localSheetId="92">'Div 5'!$T$45</definedName>
    <definedName name="OSRRefT22_3x_0" localSheetId="61">'Div 6'!$T$73</definedName>
    <definedName name="OSRRefT22_3x_0" localSheetId="2">Summary!$T$171:$T$172</definedName>
    <definedName name="OSRRefT22_4x_0" localSheetId="40">'200'!$T$28:$T$29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'300'!$T$143</definedName>
    <definedName name="OSRRefT22_4x_0" localSheetId="49">'300 &amp; 317'!$T$165</definedName>
    <definedName name="OSRRefT22_4x_0" localSheetId="50">'301'!$T$46</definedName>
    <definedName name="OSRRefT22_4x_0" localSheetId="52">'307'!$T$63</definedName>
    <definedName name="OSRRefT22_4x_0" localSheetId="53">'308'!$T$82</definedName>
    <definedName name="OSRRefT22_4x_0" localSheetId="64">'309'!$T$46</definedName>
    <definedName name="OSRRefT22_4x_0" localSheetId="63">'310'!$T$53</definedName>
    <definedName name="OSRRefT22_4x_0" localSheetId="71">'310 &amp; 491'!$T$57</definedName>
    <definedName name="OSRRefT22_4x_0" localSheetId="54">'311'!$T$81</definedName>
    <definedName name="OSRRefT22_4x_0" localSheetId="65">'313'!$T$48</definedName>
    <definedName name="OSRRefT22_4x_0" localSheetId="57">'315'!$T$105</definedName>
    <definedName name="OSRRefT22_4x_0" localSheetId="60">'316'!$T$55</definedName>
    <definedName name="OSRRefT22_4x_0" localSheetId="62">'317'!$T$75</definedName>
    <definedName name="OSRRefT22_4x_0" localSheetId="66">'321'!$T$50</definedName>
    <definedName name="OSRRefT22_4x_0" localSheetId="67">'322'!$T$47</definedName>
    <definedName name="OSRRefT22_4x_0" localSheetId="68">'325'!$T$49</definedName>
    <definedName name="OSRRefT22_4x_0" localSheetId="58">'326'!$T$69</definedName>
    <definedName name="OSRRefT22_4x_0" localSheetId="51">'330'!$T$63</definedName>
    <definedName name="OSRRefT22_4x_0" localSheetId="56">'331'!$T$105</definedName>
    <definedName name="OSRRefT22_4x_0" localSheetId="59">'332'!$T$55</definedName>
    <definedName name="OSRRefT22_4x_0" localSheetId="73">'405'!$T$47:$T$48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7">'413'!$T$48</definedName>
    <definedName name="OSRRefT22_4x_0" localSheetId="78">'414'!$T$49</definedName>
    <definedName name="OSRRefT22_4x_0" localSheetId="79">'415'!$T$52</definedName>
    <definedName name="OSRRefT22_4x_0" localSheetId="80">'418'!$T$47:$T$48</definedName>
    <definedName name="OSRRefT22_4x_0" localSheetId="82">'423'!$T$45</definedName>
    <definedName name="OSRRefT22_4x_0" localSheetId="84">'425'!$T$32:$T$33</definedName>
    <definedName name="OSRRefT22_4x_0" localSheetId="87">'430'!$T$47:$T$48</definedName>
    <definedName name="OSRRefT22_4x_0" localSheetId="88">'433'!$T$53</definedName>
    <definedName name="OSRRefT22_4x_0" localSheetId="90">'444'!$T$53</definedName>
    <definedName name="OSRRefT22_4x_0" localSheetId="91">'450'!$T$49</definedName>
    <definedName name="OSRRefT22_4x_0" localSheetId="72">'491'!$T$54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3'!$T$147</definedName>
    <definedName name="OSRRefT22_4x_0" localSheetId="70">'Div 4'!$T$57</definedName>
    <definedName name="OSRRefT22_4x_0" localSheetId="92">'Div 5'!$T$47</definedName>
    <definedName name="OSRRefT22_4x_0" localSheetId="61">'Div 6'!$T$75</definedName>
    <definedName name="OSRRefT22_4x_0" localSheetId="2">Summary!$T$174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'300'!$T$145:$T$146</definedName>
    <definedName name="OSRRefT22_5x_0" localSheetId="49">'300 &amp; 317'!$T$167:$T$168</definedName>
    <definedName name="OSRRefT22_5x_0" localSheetId="50">'301'!$T$48:$T$49</definedName>
    <definedName name="OSRRefT22_5x_0" localSheetId="52">'307'!$T$65:$T$66</definedName>
    <definedName name="OSRRefT22_5x_0" localSheetId="53">'308'!$T$84</definedName>
    <definedName name="OSRRefT22_5x_0" localSheetId="64">'309'!$T$48</definedName>
    <definedName name="OSRRefT22_5x_0" localSheetId="63">'310'!$T$55:$T$56</definedName>
    <definedName name="OSRRefT22_5x_0" localSheetId="71">'310 &amp; 491'!$T$59:$T$61</definedName>
    <definedName name="OSRRefT22_5x_0" localSheetId="54">'311'!$T$83</definedName>
    <definedName name="OSRRefT22_5x_0" localSheetId="65">'313'!$T$50</definedName>
    <definedName name="OSRRefT22_5x_0" localSheetId="57">'315'!$T$107</definedName>
    <definedName name="OSRRefT22_5x_0" localSheetId="60">'316'!$T$57</definedName>
    <definedName name="OSRRefT22_5x_0" localSheetId="62">'317'!$T$77</definedName>
    <definedName name="OSRRefT22_5x_0" localSheetId="66">'321'!$T$52</definedName>
    <definedName name="OSRRefT22_5x_0" localSheetId="67">'322'!$T$49</definedName>
    <definedName name="OSRRefT22_5x_0" localSheetId="68">'325'!$T$51:$T$52</definedName>
    <definedName name="OSRRefT22_5x_0" localSheetId="58">'326'!$T$71</definedName>
    <definedName name="OSRRefT22_5x_0" localSheetId="51">'330'!$T$65:$T$66</definedName>
    <definedName name="OSRRefT22_5x_0" localSheetId="56">'331'!$T$107</definedName>
    <definedName name="OSRRefT22_5x_0" localSheetId="59">'332'!$T$57</definedName>
    <definedName name="OSRRefT22_5x_0" localSheetId="73">'405'!$T$50</definedName>
    <definedName name="OSRRefT22_5x_0" localSheetId="75">'411'!$T$48</definedName>
    <definedName name="OSRRefT22_5x_0" localSheetId="76">'412'!$T$49</definedName>
    <definedName name="OSRRefT22_5x_0" localSheetId="77">'413'!$T$50</definedName>
    <definedName name="OSRRefT22_5x_0" localSheetId="78">'414'!$T$51</definedName>
    <definedName name="OSRRefT22_5x_0" localSheetId="79">'415'!$T$54:$T$55</definedName>
    <definedName name="OSRRefT22_5x_0" localSheetId="80">'418'!$T$50</definedName>
    <definedName name="OSRRefT22_5x_0" localSheetId="82">'423'!$T$47</definedName>
    <definedName name="OSRRefT22_5x_0" localSheetId="84">'425'!$T$35</definedName>
    <definedName name="OSRRefT22_5x_0" localSheetId="87">'430'!$T$50</definedName>
    <definedName name="OSRRefT22_5x_0" localSheetId="88">'433'!$T$55</definedName>
    <definedName name="OSRRefT22_5x_0" localSheetId="90">'444'!$T$55</definedName>
    <definedName name="OSRRefT22_5x_0" localSheetId="91">'450'!$T$51</definedName>
    <definedName name="OSRRefT22_5x_0" localSheetId="72">'491'!$T$56:$T$58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3'!$T$149:$T$150</definedName>
    <definedName name="OSRRefT22_5x_0" localSheetId="70">'Div 4'!$T$59:$T$61</definedName>
    <definedName name="OSRRefT22_5x_0" localSheetId="92">'Div 5'!$T$49:$T$50</definedName>
    <definedName name="OSRRefT22_5x_0" localSheetId="61">'Div 6'!$T$77</definedName>
    <definedName name="OSRRefT22_5x_0" localSheetId="2">Summary!$T$176:$T$178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'205'!$T$50:$T$52</definedName>
    <definedName name="OSRRefT22_6x_0" localSheetId="46">'206'!$T$49</definedName>
    <definedName name="OSRRefT22_6x_0" localSheetId="48">'300'!$T$148:$T$149</definedName>
    <definedName name="OSRRefT22_6x_0" localSheetId="49">'300 &amp; 317'!$T$170:$T$171</definedName>
    <definedName name="OSRRefT22_6x_0" localSheetId="50">'301'!$T$51</definedName>
    <definedName name="OSRRefT22_6x_0" localSheetId="52">'307'!$T$68</definedName>
    <definedName name="OSRRefT22_6x_0" localSheetId="53">'308'!$T$86</definedName>
    <definedName name="OSRRefT22_6x_0" localSheetId="64">'309'!$T$50:$T$51</definedName>
    <definedName name="OSRRefT22_6x_0" localSheetId="63">'310'!$T$58</definedName>
    <definedName name="OSRRefT22_6x_0" localSheetId="71">'310 &amp; 491'!$T$63</definedName>
    <definedName name="OSRRefT22_6x_0" localSheetId="54">'311'!$T$85</definedName>
    <definedName name="OSRRefT22_6x_0" localSheetId="65">'313'!$T$52:$T$53</definedName>
    <definedName name="OSRRefT22_6x_0" localSheetId="57">'315'!$T$109</definedName>
    <definedName name="OSRRefT22_6x_0" localSheetId="60">'316'!$T$59:$T$60</definedName>
    <definedName name="OSRRefT22_6x_0" localSheetId="62">'317'!$T$79:$T$80</definedName>
    <definedName name="OSRRefT22_6x_0" localSheetId="66">'321'!$T$54</definedName>
    <definedName name="OSRRefT22_6x_0" localSheetId="67">'322'!$T$51</definedName>
    <definedName name="OSRRefT22_6x_0" localSheetId="68">'325'!$T$54</definedName>
    <definedName name="OSRRefT22_6x_0" localSheetId="58">'326'!$T$73</definedName>
    <definedName name="OSRRefT22_6x_0" localSheetId="51">'330'!$T$68</definedName>
    <definedName name="OSRRefT22_6x_0" localSheetId="56">'331'!$T$109</definedName>
    <definedName name="OSRRefT22_6x_0" localSheetId="59">'332'!$T$59:$T$60</definedName>
    <definedName name="OSRRefT22_6x_0" localSheetId="73">'405'!$T$52</definedName>
    <definedName name="OSRRefT22_6x_0" localSheetId="75">'411'!$T$50</definedName>
    <definedName name="OSRRefT22_6x_0" localSheetId="76">'412'!$T$51</definedName>
    <definedName name="OSRRefT22_6x_0" localSheetId="77">'413'!$T$52</definedName>
    <definedName name="OSRRefT22_6x_0" localSheetId="78">'414'!$T$53</definedName>
    <definedName name="OSRRefT22_6x_0" localSheetId="79">'415'!$T$57</definedName>
    <definedName name="OSRRefT22_6x_0" localSheetId="80">'418'!$T$52</definedName>
    <definedName name="OSRRefT22_6x_0" localSheetId="82">'423'!$T$49</definedName>
    <definedName name="OSRRefT22_6x_0" localSheetId="87">'430'!$T$52</definedName>
    <definedName name="OSRRefT22_6x_0" localSheetId="88">'433'!$T$57</definedName>
    <definedName name="OSRRefT22_6x_0" localSheetId="90">'444'!$T$57</definedName>
    <definedName name="OSRRefT22_6x_0" localSheetId="91">'450'!$T$53</definedName>
    <definedName name="OSRRefT22_6x_0" localSheetId="72">'491'!$T$60</definedName>
    <definedName name="OSRRefT22_6x_0" localSheetId="86">'492'!$T$57</definedName>
    <definedName name="OSRRefT22_6x_0" localSheetId="93">'501'!$T$52</definedName>
    <definedName name="OSRRefT22_6x_0" localSheetId="39">'Div 2'!$T$53</definedName>
    <definedName name="OSRRefT22_6x_0" localSheetId="47">'Div 3'!$T$152:$T$153</definedName>
    <definedName name="OSRRefT22_6x_0" localSheetId="70">'Div 4'!$T$63</definedName>
    <definedName name="OSRRefT22_6x_0" localSheetId="92">'Div 5'!$T$52</definedName>
    <definedName name="OSRRefT22_6x_0" localSheetId="61">'Div 6'!$T$79:$T$80</definedName>
    <definedName name="OSRRefT22_6x_0" localSheetId="2">Summary!$T$180:$T$181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'204'!$T$53:$T$55</definedName>
    <definedName name="OSRRefT22_7x_0" localSheetId="45">'205'!$T$54</definedName>
    <definedName name="OSRRefT22_7x_0" localSheetId="46">'206'!$T$51</definedName>
    <definedName name="OSRRefT22_7x_0" localSheetId="48">'300'!$T$151:$T$152</definedName>
    <definedName name="OSRRefT22_7x_0" localSheetId="49">'300 &amp; 317'!$T$173:$T$174</definedName>
    <definedName name="OSRRefT22_7x_0" localSheetId="50">'301'!$T$53</definedName>
    <definedName name="OSRRefT22_7x_0" localSheetId="52">'307'!$T$70</definedName>
    <definedName name="OSRRefT22_7x_0" localSheetId="53">'308'!$T$88:$T$89</definedName>
    <definedName name="OSRRefT22_7x_0" localSheetId="64">'309'!$T$53:$T$54</definedName>
    <definedName name="OSRRefT22_7x_0" localSheetId="63">'310'!$T$60</definedName>
    <definedName name="OSRRefT22_7x_0" localSheetId="71">'310 &amp; 491'!$T$65</definedName>
    <definedName name="OSRRefT22_7x_0" localSheetId="54">'311'!$T$87:$T$88</definedName>
    <definedName name="OSRRefT22_7x_0" localSheetId="65">'313'!$T$55</definedName>
    <definedName name="OSRRefT22_7x_0" localSheetId="57">'315'!$T$111:$T$112</definedName>
    <definedName name="OSRRefT22_7x_0" localSheetId="60">'316'!$T$62:$T$63</definedName>
    <definedName name="OSRRefT22_7x_0" localSheetId="62">'317'!$T$82</definedName>
    <definedName name="OSRRefT22_7x_0" localSheetId="66">'321'!$T$56:$T$57</definedName>
    <definedName name="OSRRefT22_7x_0" localSheetId="67">'322'!$T$53:$T$54</definedName>
    <definedName name="OSRRefT22_7x_0" localSheetId="68">'325'!$T$56</definedName>
    <definedName name="OSRRefT22_7x_0" localSheetId="58">'326'!$T$75</definedName>
    <definedName name="OSRRefT22_7x_0" localSheetId="51">'330'!$T$70</definedName>
    <definedName name="OSRRefT22_7x_0" localSheetId="56">'331'!$T$111</definedName>
    <definedName name="OSRRefT22_7x_0" localSheetId="59">'332'!$T$62:$T$63</definedName>
    <definedName name="OSRRefT22_7x_0" localSheetId="73">'405'!$T$54</definedName>
    <definedName name="OSRRefT22_7x_0" localSheetId="75">'411'!$T$52</definedName>
    <definedName name="OSRRefT22_7x_0" localSheetId="76">'412'!$T$53</definedName>
    <definedName name="OSRRefT22_7x_0" localSheetId="77">'413'!$T$54</definedName>
    <definedName name="OSRRefT22_7x_0" localSheetId="78">'414'!$T$55</definedName>
    <definedName name="OSRRefT22_7x_0" localSheetId="79">'415'!$T$59</definedName>
    <definedName name="OSRRefT22_7x_0" localSheetId="80">'418'!$T$54</definedName>
    <definedName name="OSRRefT22_7x_0" localSheetId="88">'433'!$T$59</definedName>
    <definedName name="OSRRefT22_7x_0" localSheetId="90">'444'!$T$59</definedName>
    <definedName name="OSRRefT22_7x_0" localSheetId="91">'450'!$T$55</definedName>
    <definedName name="OSRRefT22_7x_0" localSheetId="72">'491'!$T$62</definedName>
    <definedName name="OSRRefT22_7x_0" localSheetId="86">'492'!$T$59</definedName>
    <definedName name="OSRRefT22_7x_0" localSheetId="93">'501'!$T$54</definedName>
    <definedName name="OSRRefT22_7x_0" localSheetId="39">'Div 2'!$T$55</definedName>
    <definedName name="OSRRefT22_7x_0" localSheetId="47">'Div 3'!$T$155:$T$156</definedName>
    <definedName name="OSRRefT22_7x_0" localSheetId="70">'Div 4'!$T$65</definedName>
    <definedName name="OSRRefT22_7x_0" localSheetId="92">'Div 5'!$T$54</definedName>
    <definedName name="OSRRefT22_7x_0" localSheetId="61">'Div 6'!$T$82</definedName>
    <definedName name="OSRRefT22_7x_0" localSheetId="2">Summary!$T$183:$T$184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'300'!$T$154</definedName>
    <definedName name="OSRRefT22_8x_0" localSheetId="49">'300 &amp; 317'!$T$176</definedName>
    <definedName name="OSRRefT22_8x_0" localSheetId="50">'301'!$T$55</definedName>
    <definedName name="OSRRefT22_8x_0" localSheetId="52">'307'!$T$72</definedName>
    <definedName name="OSRRefT22_8x_0" localSheetId="53">'308'!$T$91</definedName>
    <definedName name="OSRRefT22_8x_0" localSheetId="64">'309'!$T$56:$T$57</definedName>
    <definedName name="OSRRefT22_8x_0" localSheetId="63">'310'!$T$62</definedName>
    <definedName name="OSRRefT22_8x_0" localSheetId="71">'310 &amp; 491'!$T$67:$T$68</definedName>
    <definedName name="OSRRefT22_8x_0" localSheetId="54">'311'!$T$90</definedName>
    <definedName name="OSRRefT22_8x_0" localSheetId="65">'313'!$T$57:$T$59</definedName>
    <definedName name="OSRRefT22_8x_0" localSheetId="57">'315'!$T$114</definedName>
    <definedName name="OSRRefT22_8x_0" localSheetId="60">'316'!$T$65</definedName>
    <definedName name="OSRRefT22_8x_0" localSheetId="62">'317'!$T$84</definedName>
    <definedName name="OSRRefT22_8x_0" localSheetId="66">'321'!$T$59:$T$60</definedName>
    <definedName name="OSRRefT22_8x_0" localSheetId="67">'322'!$T$56:$T$57</definedName>
    <definedName name="OSRRefT22_8x_0" localSheetId="68">'325'!$T$58</definedName>
    <definedName name="OSRRefT22_8x_0" localSheetId="58">'326'!$T$77:$T$78</definedName>
    <definedName name="OSRRefT22_8x_0" localSheetId="51">'330'!$T$72</definedName>
    <definedName name="OSRRefT22_8x_0" localSheetId="56">'331'!$T$113:$T$114</definedName>
    <definedName name="OSRRefT22_8x_0" localSheetId="59">'332'!$T$65</definedName>
    <definedName name="OSRRefT22_8x_0" localSheetId="73">'405'!$T$56:$T$57</definedName>
    <definedName name="OSRRefT22_8x_0" localSheetId="75">'411'!$T$54</definedName>
    <definedName name="OSRRefT22_8x_0" localSheetId="76">'412'!$T$55:$T$56</definedName>
    <definedName name="OSRRefT22_8x_0" localSheetId="77">'413'!$T$56:$T$58</definedName>
    <definedName name="OSRRefT22_8x_0" localSheetId="78">'414'!$T$57:$T$58</definedName>
    <definedName name="OSRRefT22_8x_0" localSheetId="79">'415'!$T$61</definedName>
    <definedName name="OSRRefT22_8x_0" localSheetId="80">'418'!$T$56:$T$58</definedName>
    <definedName name="OSRRefT22_8x_0" localSheetId="88">'433'!$T$61</definedName>
    <definedName name="OSRRefT22_8x_0" localSheetId="90">'444'!$T$61</definedName>
    <definedName name="OSRRefT22_8x_0" localSheetId="91">'450'!$T$57</definedName>
    <definedName name="OSRRefT22_8x_0" localSheetId="72">'491'!$T$64</definedName>
    <definedName name="OSRRefT22_8x_0" localSheetId="86">'492'!$T$61</definedName>
    <definedName name="OSRRefT22_8x_0" localSheetId="93">'501'!$T$56</definedName>
    <definedName name="OSRRefT22_8x_0" localSheetId="39">'Div 2'!$T$57</definedName>
    <definedName name="OSRRefT22_8x_0" localSheetId="47">'Div 3'!$T$158</definedName>
    <definedName name="OSRRefT22_8x_0" localSheetId="70">'Div 4'!$T$67</definedName>
    <definedName name="OSRRefT22_8x_0" localSheetId="92">'Div 5'!$T$56</definedName>
    <definedName name="OSRRefT22_8x_0" localSheetId="61">'Div 6'!$T$84</definedName>
    <definedName name="OSRRefT22_8x_0" localSheetId="2">Summary!$T$186</definedName>
    <definedName name="OSRRefT22_9x_0" localSheetId="41">'201'!$T$56</definedName>
    <definedName name="OSRRefT22_9x_0" localSheetId="42">'202'!$T$58:$T$60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'300'!$T$156</definedName>
    <definedName name="OSRRefT22_9x_0" localSheetId="49">'300 &amp; 317'!$T$178</definedName>
    <definedName name="OSRRefT22_9x_0" localSheetId="50">'301'!$T$57</definedName>
    <definedName name="OSRRefT22_9x_0" localSheetId="52">'307'!$T$74:$T$75</definedName>
    <definedName name="OSRRefT22_9x_0" localSheetId="53">'308'!$T$93:$T$94</definedName>
    <definedName name="OSRRefT22_9x_0" localSheetId="64">'309'!$T$59</definedName>
    <definedName name="OSRRefT22_9x_0" localSheetId="63">'310'!$T$64</definedName>
    <definedName name="OSRRefT22_9x_0" localSheetId="71">'310 &amp; 491'!$T$70</definedName>
    <definedName name="OSRRefT22_9x_0" localSheetId="54">'311'!$T$92:$T$93</definedName>
    <definedName name="OSRRefT22_9x_0" localSheetId="65">'313'!$T$61:$T$62</definedName>
    <definedName name="OSRRefT22_9x_0" localSheetId="57">'315'!$T$116</definedName>
    <definedName name="OSRRefT22_9x_0" localSheetId="60">'316'!$T$67:$T$71</definedName>
    <definedName name="OSRRefT22_9x_0" localSheetId="62">'317'!$T$86</definedName>
    <definedName name="OSRRefT22_9x_0" localSheetId="66">'321'!$T$62:$T$63</definedName>
    <definedName name="OSRRefT22_9x_0" localSheetId="67">'322'!$T$59:$T$62</definedName>
    <definedName name="OSRRefT22_9x_0" localSheetId="68">'325'!$T$60</definedName>
    <definedName name="OSRRefT22_9x_0" localSheetId="58">'326'!$T$80</definedName>
    <definedName name="OSRRefT22_9x_0" localSheetId="51">'330'!$T$74:$T$75</definedName>
    <definedName name="OSRRefT22_9x_0" localSheetId="56">'331'!$T$116:$T$117</definedName>
    <definedName name="OSRRefT22_9x_0" localSheetId="59">'332'!$T$67:$T$71</definedName>
    <definedName name="OSRRefT22_9x_0" localSheetId="73">'405'!$T$59</definedName>
    <definedName name="OSRRefT22_9x_0" localSheetId="75">'411'!$T$56:$T$57</definedName>
    <definedName name="OSRRefT22_9x_0" localSheetId="76">'412'!$T$58</definedName>
    <definedName name="OSRRefT22_9x_0" localSheetId="77">'413'!$T$60:$T$61</definedName>
    <definedName name="OSRRefT22_9x_0" localSheetId="78">'414'!$T$60</definedName>
    <definedName name="OSRRefT22_9x_0" localSheetId="79">'415'!$T$63</definedName>
    <definedName name="OSRRefT22_9x_0" localSheetId="80">'418'!$T$60:$T$61</definedName>
    <definedName name="OSRRefT22_9x_0" localSheetId="88">'433'!$T$63</definedName>
    <definedName name="OSRRefT22_9x_0" localSheetId="90">'444'!$T$63</definedName>
    <definedName name="OSRRefT22_9x_0" localSheetId="91">'450'!$T$59</definedName>
    <definedName name="OSRRefT22_9x_0" localSheetId="72">'491'!$T$66</definedName>
    <definedName name="OSRRefT22_9x_0" localSheetId="86">'492'!$T$63</definedName>
    <definedName name="OSRRefT22_9x_0" localSheetId="93">'501'!$T$58:$T$61</definedName>
    <definedName name="OSRRefT22_9x_0" localSheetId="39">'Div 2'!$T$59:$T$60</definedName>
    <definedName name="OSRRefT22_9x_0" localSheetId="47">'Div 3'!$T$160</definedName>
    <definedName name="OSRRefT22_9x_0" localSheetId="70">'Div 4'!$T$69</definedName>
    <definedName name="OSRRefT22_9x_0" localSheetId="92">'Div 5'!$T$58:$T$61</definedName>
    <definedName name="OSRRefT22_9x_0" localSheetId="61">'Div 6'!$T$86</definedName>
    <definedName name="OSRRefT22_9x_0" localSheetId="2">Summary!$T$188</definedName>
    <definedName name="OSRRefT22x_0" localSheetId="40">'200'!$T$20,'200'!$T$22,'200'!$T$24,'200'!$T$26,'200'!$T$28:$T$29</definedName>
    <definedName name="OSRRefT22x_0" localSheetId="41">'201'!$T$21:$T$29,'201'!$T$31:$T$40,'201'!$T$42,'201'!$T$44,'201'!$T$46,'201'!$T$48,'201'!$T$50,'201'!$T$52,'201'!$T$54,'201'!$T$56,'201'!$T$58:$T$60,'201'!$T$62,'201'!$T$64,'201'!$T$66:$T$68,'201'!$T$70,'201'!$T$72,'201'!$T$74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$116:$T$125,'300'!$T$127:$T$136,'300'!$T$138,'300'!$T$140:$T$141,'300'!$T$143,'300'!$T$145:$T$146,'300'!$T$148:$T$149,'300'!$T$151:$T$152,'300'!$T$154,'300'!$T$156,'300'!$T$158:$T$159,'300'!$T$161:$T$163,'300'!$T$165,'300'!$T$167,'300'!$T$169,'300'!$T$171,'300'!$T$173:$T$176,'300'!$T$178:$T$181,'300'!$T$183:$T$186,'300'!$T$188:$T$189,'300'!$T$191:$T$199,'300'!$T$201:$T$202,'300'!$T$204,'300'!$T$206:$T$208,'300'!$T$210</definedName>
    <definedName name="OSRRefT22x_0" localSheetId="49">'300 &amp; 317'!$T$138:$T$147,'300 &amp; 317'!$T$149:$T$158,'300 &amp; 317'!$T$160,'300 &amp; 317'!$T$162:$T$163,'300 &amp; 317'!$T$165,'300 &amp; 317'!$T$167:$T$168,'300 &amp; 317'!$T$170:$T$171,'300 &amp; 317'!$T$173:$T$174,'300 &amp; 317'!$T$176,'300 &amp; 317'!$T$178,'300 &amp; 317'!$T$180:$T$181,'300 &amp; 317'!$T$183:$T$185,'300 &amp; 317'!$T$187,'300 &amp; 317'!$T$189,'300 &amp; 317'!$T$191,'300 &amp; 317'!$T$193,'300 &amp; 317'!$T$195:$T$198,'300 &amp; 317'!$T$200:$T$203,'300 &amp; 317'!$T$205:$T$208,'300 &amp; 317'!$T$210:$T$211,'300 &amp; 317'!$T$213:$T$221,'300 &amp; 317'!$T$223:$T$224,'300 &amp; 317'!$T$226,'300 &amp; 317'!$T$228:$T$230,'300 &amp; 317'!$T$232</definedName>
    <definedName name="OSRRefT22x_0" localSheetId="50">'301'!$T$20:$T$28,'301'!$T$30:$T$39,'301'!$T$41,'301'!$T$43:$T$44,'301'!$T$46,'301'!$T$48:$T$49,'301'!$T$51,'301'!$T$53,'301'!$T$55,'301'!$T$57,'301'!$T$59,'301'!$T$61,'301'!$T$63,'301'!$T$65,'301'!$T$67:$T$70,'301'!$T$72:$T$74,'301'!$T$76,'301'!$T$78:$T$84,'301'!$T$86,'301'!$T$88,'301'!$T$90:$T$91,'301'!$T$93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'308'!$T$56:$T$65,'308'!$T$67:$T$76,'308'!$T$78,'308'!$T$80,'308'!$T$82,'308'!$T$84,'308'!$T$86,'308'!$T$88:$T$89,'308'!$T$91,'308'!$T$93:$T$94,'308'!$T$96,'308'!$T$98:$T$100,'308'!$T$102:$T$103,'308'!$T$105</definedName>
    <definedName name="OSRRefT22x_0" localSheetId="64">'309'!$T$22:$T$29,'309'!$T$31:$T$40,'309'!$T$42,'309'!$T$44,'309'!$T$46,'309'!$T$48,'309'!$T$50:$T$51,'309'!$T$53:$T$54,'309'!$T$56:$T$57,'309'!$T$59</definedName>
    <definedName name="OSRRefT22x_0" localSheetId="63">'310'!$T$28:$T$36,'310'!$T$38:$T$47,'310'!$T$49,'310'!$T$51,'310'!$T$53,'310'!$T$55:$T$56,'310'!$T$58,'310'!$T$60,'310'!$T$62,'310'!$T$64,'310'!$T$66,'310'!$T$68,'310'!$T$70:$T$73,'310'!$T$75:$T$76,'310'!$T$78:$T$81,'310'!$T$83,'310'!$T$85:$T$91,'310'!$T$93:$T$94,'310'!$T$96,'310'!$T$98,'310'!$T$100</definedName>
    <definedName name="OSRRefT22x_0" localSheetId="71">'310 &amp; 491'!$T$32:$T$40,'310 &amp; 491'!$T$42:$T$51,'310 &amp; 491'!$T$53,'310 &amp; 491'!$T$55,'310 &amp; 491'!$T$57,'310 &amp; 491'!$T$59:$T$61,'310 &amp; 491'!$T$63,'310 &amp; 491'!$T$65,'310 &amp; 491'!$T$67:$T$68,'310 &amp; 491'!$T$70,'310 &amp; 491'!$T$72,'310 &amp; 491'!$T$74,'310 &amp; 491'!$T$76,'310 &amp; 491'!$T$78:$T$81,'310 &amp; 491'!$T$83:$T$84,'310 &amp; 491'!$T$86:$T$90,'310 &amp; 491'!$T$92,'310 &amp; 491'!$T$94:$T$104,'310 &amp; 491'!$T$106:$T$107,'310 &amp; 491'!$T$109,'310 &amp; 491'!$T$111:$T$113,'310 &amp; 491'!$T$115</definedName>
    <definedName name="OSRRefT22x_0" localSheetId="54">'311'!$T$55:$T$64,'311'!$T$66:$T$75,'311'!$T$77,'311'!$T$79,'311'!$T$81,'311'!$T$83,'311'!$T$85,'311'!$T$87:$T$88,'311'!$T$90,'311'!$T$92:$T$93,'311'!$T$95,'311'!$T$97:$T$99,'311'!$T$101:$T$102,'311'!$T$104</definedName>
    <definedName name="OSRRefT22x_0" localSheetId="65">'313'!$T$23:$T$31,'313'!$T$33:$T$42,'313'!$T$44,'313'!$T$46,'313'!$T$48,'313'!$T$50,'313'!$T$52:$T$53,'313'!$T$55,'313'!$T$57:$T$59,'313'!$T$61:$T$62,'313'!$T$64,'313'!$T$66</definedName>
    <definedName name="OSRRefT22x_0" localSheetId="57">'315'!$T$80:$T$88,'315'!$T$90:$T$99,'315'!$T$101,'315'!$T$103,'315'!$T$105,'315'!$T$107,'315'!$T$109,'315'!$T$111:$T$112,'315'!$T$114,'315'!$T$116,'315'!$T$118,'315'!$T$120,'315'!$T$122:$T$124,'315'!$T$126:$T$127,'315'!$T$129:$T$135,'315'!$T$137,'315'!$T$139:$T$140</definedName>
    <definedName name="OSRRefT22x_0" localSheetId="60">'316'!$T$30:$T$38,'316'!$T$40:$T$49,'316'!$T$51,'316'!$T$53,'316'!$T$55,'316'!$T$57,'316'!$T$59:$T$60,'316'!$T$62:$T$63,'316'!$T$65,'316'!$T$67:$T$71,'316'!$T$73,'316'!$T$75</definedName>
    <definedName name="OSRRefT22x_0" localSheetId="62">'317'!$T$49:$T$58,'317'!$T$60:$T$69,'317'!$T$71,'317'!$T$73,'317'!$T$75,'317'!$T$77,'317'!$T$79:$T$80,'317'!$T$82,'317'!$T$84,'317'!$T$86,'317'!$T$88:$T$90,'317'!$T$92,'317'!$T$94</definedName>
    <definedName name="OSRRefT22x_0" localSheetId="66">'321'!$T$25:$T$33,'321'!$T$35:$T$44,'321'!$T$46,'321'!$T$48,'321'!$T$50,'321'!$T$52,'321'!$T$54,'321'!$T$56:$T$57,'321'!$T$59:$T$60,'321'!$T$62:$T$63,'321'!$T$65:$T$67,'321'!$T$69:$T$70,'321'!$T$72,'321'!$T$74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'325'!$T$25:$T$32,'325'!$T$34:$T$43,'325'!$T$45,'325'!$T$47,'325'!$T$49,'325'!$T$51:$T$52,'325'!$T$54,'325'!$T$56,'325'!$T$58,'325'!$T$60,'325'!$T$62:$T$65,'325'!$T$67:$T$69,'325'!$T$71,'325'!$T$73:$T$77,'325'!$T$79:$T$80,'325'!$T$82,'325'!$T$84</definedName>
    <definedName name="OSRRefT22x_0" localSheetId="58">'326'!$T$44:$T$52,'326'!$T$54:$T$63,'326'!$T$65,'326'!$T$67,'326'!$T$69,'326'!$T$71,'326'!$T$73,'326'!$T$75,'326'!$T$77:$T$78,'326'!$T$80,'326'!$T$82,'326'!$T$84,'326'!$T$86,'326'!$T$88:$T$89,'326'!$T$91:$T$93,'326'!$T$95:$T$96,'326'!$T$98:$T$103,'326'!$T$105:$T$106,'326'!$T$108,'326'!$T$110:$T$111,'326'!$T$113</definedName>
    <definedName name="OSRRefT22x_0" localSheetId="69">'327'!$T$24</definedName>
    <definedName name="OSRRefT22x_0" localSheetId="51">'330'!$T$39:$T$46,'330'!$T$48:$T$57,'330'!$T$59,'330'!$T$61,'330'!$T$63,'330'!$T$65:$T$66,'330'!$T$68,'330'!$T$70,'330'!$T$72,'330'!$T$74:$T$75,'330'!$T$77:$T$78,'330'!$T$80:$T$83,'330'!$T$85:$T$86,'330'!$T$88</definedName>
    <definedName name="OSRRefT22x_0" localSheetId="56">'331'!$T$80:$T$88,'331'!$T$90:$T$99,'331'!$T$101,'331'!$T$103,'331'!$T$105,'331'!$T$107,'331'!$T$109,'331'!$T$111,'331'!$T$113:$T$114,'331'!$T$116:$T$117,'331'!$T$119,'331'!$T$121,'331'!$T$123,'331'!$T$125,'331'!$T$127:$T$128,'331'!$T$130:$T$132,'331'!$T$134:$T$136,'331'!$T$138:$T$139,'331'!$T$141:$T$148,'331'!$T$150:$T$151,'331'!$T$153,'331'!$T$155:$T$156,'331'!$T$158</definedName>
    <definedName name="OSRRefT22x_0" localSheetId="59">'332'!$T$30:$T$38,'332'!$T$40:$T$49,'332'!$T$51,'332'!$T$53,'332'!$T$55,'332'!$T$57,'332'!$T$59:$T$60,'332'!$T$62:$T$63,'332'!$T$65,'332'!$T$67:$T$71,'332'!$T$73,'332'!$T$75</definedName>
    <definedName name="OSRRefT22x_0" localSheetId="73">'405'!$T$23:$T$30,'405'!$T$32:$T$41,'405'!$T$43,'405'!$T$45,'405'!$T$47:$T$48,'405'!$T$50,'405'!$T$52,'405'!$T$54,'405'!$T$56:$T$57,'405'!$T$59,'405'!$T$61:$T$64,'405'!$T$66,'405'!$T$68:$T$76,'405'!$T$78,'405'!$T$80,'405'!$T$82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'411'!$T$20:$T$28,'411'!$T$30:$T$39,'411'!$T$41,'411'!$T$43,'411'!$T$45:$T$46,'411'!$T$48,'411'!$T$50,'411'!$T$52,'411'!$T$54,'411'!$T$56:$T$57,'411'!$T$59:$T$62,'411'!$T$64:$T$70,'411'!$T$72,'411'!$T$74,'411'!$T$76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7">'413'!$T$23:$T$31,'413'!$T$33:$T$42,'413'!$T$44,'413'!$T$46,'413'!$T$48,'413'!$T$50,'413'!$T$52,'413'!$T$54,'413'!$T$56:$T$58,'413'!$T$60:$T$61,'413'!$T$63:$T$70,'413'!$T$72:$T$73,'413'!$T$75</definedName>
    <definedName name="OSRRefT22x_0" localSheetId="78">'414'!$T$24:$T$32,'414'!$T$34:$T$43,'414'!$T$45,'414'!$T$47,'414'!$T$49,'414'!$T$51,'414'!$T$53,'414'!$T$55,'414'!$T$57:$T$58,'414'!$T$60,'414'!$T$62,'414'!$T$64,'414'!$T$66:$T$68,'414'!$T$70,'414'!$T$72,'414'!$T$74</definedName>
    <definedName name="OSRRefT22x_0" localSheetId="79">'415'!$T$27:$T$35,'415'!$T$37:$T$46,'415'!$T$48,'415'!$T$50,'415'!$T$52,'415'!$T$54:$T$55,'415'!$T$57,'415'!$T$59,'415'!$T$61,'415'!$T$63,'415'!$T$65:$T$66,'415'!$T$68:$T$72,'415'!$T$74,'415'!$T$76:$T$82,'415'!$T$84:$T$85,'415'!$T$87,'415'!$T$89:$T$90,'415'!$T$92</definedName>
    <definedName name="OSRRefT22x_0" localSheetId="80">'418'!$T$23:$T$30,'418'!$T$32:$T$41,'418'!$T$43,'418'!$T$45,'418'!$T$47:$T$48,'418'!$T$50,'418'!$T$52,'418'!$T$54,'418'!$T$56:$T$58,'418'!$T$60:$T$61,'418'!$T$63,'418'!$T$65:$T$74,'418'!$T$76:$T$77,'418'!$T$79</definedName>
    <definedName name="OSRRefT22x_0" localSheetId="81">'420'!$T$21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'425'!$T$20:$T$24,'425'!$T$26,'425'!$T$28,'425'!$T$30,'425'!$T$32:$T$33,'425'!$T$35</definedName>
    <definedName name="OSRRefT22x_0" localSheetId="87">'430'!$T$20:$T$28,'430'!$T$30:$T$39,'430'!$T$41,'430'!$T$43:$T$45,'430'!$T$47:$T$48,'430'!$T$50,'430'!$T$52</definedName>
    <definedName name="OSRRefT22x_0" localSheetId="88">'433'!$T$27:$T$36,'433'!$T$38:$T$47,'433'!$T$49,'433'!$T$51,'433'!$T$53,'433'!$T$55,'433'!$T$57,'433'!$T$59,'433'!$T$61,'433'!$T$63,'433'!$T$65,'433'!$T$67:$T$68,'433'!$T$70:$T$73,'433'!$T$75:$T$82,'433'!$T$84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'444'!$T$27:$T$36,'444'!$T$38:$T$47,'444'!$T$49,'444'!$T$51,'444'!$T$53,'444'!$T$55,'444'!$T$57,'444'!$T$59,'444'!$T$61,'444'!$T$63,'444'!$T$65,'444'!$T$67:$T$70,'444'!$T$72:$T$74,'444'!$T$76,'444'!$T$78:$T$86,'444'!$T$88:$T$89,'444'!$T$91</definedName>
    <definedName name="OSRRefT22x_0" localSheetId="91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$29:$T$37,'491'!$T$39:$T$48,'491'!$T$50,'491'!$T$52,'491'!$T$54,'491'!$T$56:$T$58,'491'!$T$60,'491'!$T$62,'491'!$T$64,'491'!$T$66,'491'!$T$68,'491'!$T$70,'491'!$T$72,'491'!$T$74:$T$77,'491'!$T$79:$T$80,'491'!$T$82:$T$86,'491'!$T$88,'491'!$T$90:$T$100,'491'!$T$102:$T$103,'491'!$T$105,'491'!$T$107:$T$109,'491'!$T$111</definedName>
    <definedName name="OSRRefT22x_0" localSheetId="86">'492'!$T$27:$T$36,'492'!$T$38:$T$47,'492'!$T$49,'492'!$T$51,'492'!$T$53,'492'!$T$55,'492'!$T$57,'492'!$T$59,'492'!$T$61,'492'!$T$63,'492'!$T$65,'492'!$T$67,'492'!$T$69:$T$72,'492'!$T$74:$T$77,'492'!$T$79,'492'!$T$81:$T$90,'492'!$T$92:$T$93,'492'!$T$95,'492'!$T$97</definedName>
    <definedName name="OSRRefT22x_0" localSheetId="93">'501'!$T$21:$T$30,'501'!$T$32:$T$41,'501'!$T$43,'501'!$T$45,'501'!$T$47,'501'!$T$49:$T$50,'501'!$T$52,'501'!$T$54,'501'!$T$56,'501'!$T$58:$T$61,'501'!$T$63:$T$64,'501'!$T$66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7">'Div 3'!$T$120:$T$129,'Div 3'!$T$131:$T$140,'Div 3'!$T$142,'Div 3'!$T$144:$T$145,'Div 3'!$T$147,'Div 3'!$T$149:$T$150,'Div 3'!$T$152:$T$153,'Div 3'!$T$155:$T$156,'Div 3'!$T$158,'Div 3'!$T$160,'Div 3'!$T$162:$T$163,'Div 3'!$T$165:$T$167,'Div 3'!$T$169,'Div 3'!$T$171,'Div 3'!$T$173,'Div 3'!$T$175,'Div 3'!$T$177,'Div 3'!$T$179:$T$182,'Div 3'!$T$184:$T$187,'Div 3'!$T$189:$T$193,'Div 3'!$T$195:$T$196,'Div 3'!$T$198:$T$206,'Div 3'!$T$208:$T$209,'Div 3'!$T$211,'Div 3'!$T$213:$T$215,'Div 3'!$T$217</definedName>
    <definedName name="OSRRefT22x_0" localSheetId="70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4'!$T$95:$T$96,'Div 4'!$T$98:$T$108,'Div 4'!$T$110:$T$111,'Div 4'!$T$113,'Div 4'!$T$115:$T$117,'Div 4'!$T$119</definedName>
    <definedName name="OSRRefT22x_0" localSheetId="92">'Div 5'!$T$21:$T$30,'Div 5'!$T$32:$T$41,'Div 5'!$T$43,'Div 5'!$T$45,'Div 5'!$T$47,'Div 5'!$T$49:$T$50,'Div 5'!$T$52,'Div 5'!$T$54,'Div 5'!$T$56,'Div 5'!$T$58:$T$61,'Div 5'!$T$63:$T$64,'Div 5'!$T$66</definedName>
    <definedName name="OSRRefT22x_0" localSheetId="61">'Div 6'!$T$49:$T$58,'Div 6'!$T$60:$T$69,'Div 6'!$T$71,'Div 6'!$T$73,'Div 6'!$T$75,'Div 6'!$T$77,'Div 6'!$T$79:$T$80,'Div 6'!$T$82,'Div 6'!$T$84,'Div 6'!$T$86,'Div 6'!$T$88:$T$90,'Div 6'!$T$92,'Div 6'!$T$94</definedName>
    <definedName name="OSRRefT22x_0" localSheetId="2">Summary!$T$147:$T$156,Summary!$T$158:$T$167,Summary!$T$169,Summary!$T$171:$T$172,Summary!$T$174,Summary!$T$176:$T$178,Summary!$T$180:$T$181,Summary!$T$183:$T$184,Summary!$T$186,Summary!$T$188,Summary!$T$190:$T$191,Summary!$T$193:$T$195,Summary!$T$197,Summary!$T$199,Summary!$T$201,Summary!$T$203,Summary!$T$205,Summary!$T$207,Summary!$T$209:$T$212,Summary!$T$214:$T$217,Summary!$T$219:$T$223,Summary!$T$225:$T$226,Summary!$T$228:$T$238,Summary!$T$240:$T$241,Summary!$T$243,Summary!$T$245:$T$247,Summary!$T$249</definedName>
    <definedName name="OSRRefT25x_0" localSheetId="42">'202'!$T$69:$T$71</definedName>
    <definedName name="OSRRefT25x_0" localSheetId="48">'300'!$T$213:$T$216</definedName>
    <definedName name="OSRRefT25x_0" localSheetId="49">'300 &amp; 317'!$T$235:$T$239</definedName>
    <definedName name="OSRRefT25x_0" localSheetId="50">'301'!$T$96:$T$97</definedName>
    <definedName name="OSRRefT25x_0" localSheetId="53">'308'!$T$108:$T$110</definedName>
    <definedName name="OSRRefT25x_0" localSheetId="71">'310 &amp; 491'!$T$118:$T$121</definedName>
    <definedName name="OSRRefT25x_0" localSheetId="54">'311'!$T$107:$T$109</definedName>
    <definedName name="OSRRefT25x_0" localSheetId="57">'315'!$T$143:$T$145</definedName>
    <definedName name="OSRRefT25x_0" localSheetId="60">'316'!$T$78</definedName>
    <definedName name="OSRRefT25x_0" localSheetId="62">'317'!$T$97:$T$98</definedName>
    <definedName name="OSRRefT25x_0" localSheetId="56">'331'!$T$161:$T$163</definedName>
    <definedName name="OSRRefT25x_0" localSheetId="59">'332'!$T$78</definedName>
    <definedName name="OSRRefT25x_0" localSheetId="75">'411'!$T$79:$T$80</definedName>
    <definedName name="OSRRefT25x_0" localSheetId="80">'418'!$T$82</definedName>
    <definedName name="OSRRefT25x_0" localSheetId="82">'423'!$T$52:$T$54</definedName>
    <definedName name="OSRRefT25x_0" localSheetId="85">'455'!$T$21:$T$22</definedName>
    <definedName name="OSRRefT25x_0" localSheetId="72">'491'!$T$114:$T$117</definedName>
    <definedName name="OSRRefT25x_0" localSheetId="93">'501'!$T$69</definedName>
    <definedName name="OSRRefT25x_0" localSheetId="39">'Div 2'!$T$98:$T$100</definedName>
    <definedName name="OSRRefT25x_0" localSheetId="47">'Div 3'!$T$220:$T$223</definedName>
    <definedName name="OSRRefT25x_0" localSheetId="70">'Div 4'!$T$122:$T$125</definedName>
    <definedName name="OSRRefT25x_0" localSheetId="92">'Div 5'!$T$69</definedName>
    <definedName name="OSRRefT25x_0" localSheetId="61">'Div 6'!$T$97:$T$98</definedName>
    <definedName name="OSRRefT25x_0" localSheetId="2">Summary!$T$252:$T$258</definedName>
    <definedName name="_xlnm.Print_Area" localSheetId="38">'100'!$A$1:$Z$34</definedName>
    <definedName name="_xlnm.Print_Area" localSheetId="40">'200'!$A$1:$Z$43</definedName>
    <definedName name="_xlnm.Print_Area" localSheetId="41">'201'!$A$1:$Z$88</definedName>
    <definedName name="_xlnm.Print_Area" localSheetId="42">'202'!$A$1:$Z$83</definedName>
    <definedName name="_xlnm.Print_Area" localSheetId="43">'203'!$A$1:$Z$86</definedName>
    <definedName name="_xlnm.Print_Area" localSheetId="44">'204'!$A$1:$Z$79</definedName>
    <definedName name="_xlnm.Print_Area" localSheetId="45">'205'!$A$1:$Z$68</definedName>
    <definedName name="_xlnm.Print_Area" localSheetId="46">'206'!$A$1:$Z$70</definedName>
    <definedName name="_xlnm.Print_Area" localSheetId="48">'300'!$A$1:$Z$228</definedName>
    <definedName name="_xlnm.Print_Area" localSheetId="49">'300 &amp; 317'!$A$1:$Z$251</definedName>
    <definedName name="_xlnm.Print_Area" localSheetId="50">'301'!$A$1:$Z$109</definedName>
    <definedName name="_xlnm.Print_Area" localSheetId="52">'307'!$A$1:$Z$102</definedName>
    <definedName name="_xlnm.Print_Area" localSheetId="53">'308'!$A$1:$Z$122</definedName>
    <definedName name="_xlnm.Print_Area" localSheetId="64">'309'!$A$1:$Z$73</definedName>
    <definedName name="_xlnm.Print_Area" localSheetId="63">'310'!$A$1:$Z$114</definedName>
    <definedName name="_xlnm.Print_Area" localSheetId="71">'310 &amp; 491'!$A$1:$Z$133</definedName>
    <definedName name="_xlnm.Print_Area" localSheetId="54">'311'!$A$1:$Z$121</definedName>
    <definedName name="_xlnm.Print_Area" localSheetId="65">'313'!$A$1:$Z$80</definedName>
    <definedName name="_xlnm.Print_Area" localSheetId="57">'315'!$A$1:$Z$157</definedName>
    <definedName name="_xlnm.Print_Area" localSheetId="60">'316'!$A$1:$Z$90</definedName>
    <definedName name="_xlnm.Print_Area" localSheetId="62">'317'!$A$1:$Z$110</definedName>
    <definedName name="_xlnm.Print_Area" localSheetId="66">'321'!$A$1:$Z$88</definedName>
    <definedName name="_xlnm.Print_Area" localSheetId="67">'322'!$A$1:$Z$80</definedName>
    <definedName name="_xlnm.Print_Area" localSheetId="55">'324'!$A$1:$Z$59</definedName>
    <definedName name="_xlnm.Print_Area" localSheetId="68">'325'!$A$1:$Z$98</definedName>
    <definedName name="_xlnm.Print_Area" localSheetId="58">'326'!$A$1:$Z$127</definedName>
    <definedName name="_xlnm.Print_Area" localSheetId="69">'327'!$A$1:$Z$38</definedName>
    <definedName name="_xlnm.Print_Area" localSheetId="51">'330'!$A$1:$Z$102</definedName>
    <definedName name="_xlnm.Print_Area" localSheetId="56">'331'!$A$1:$Z$175</definedName>
    <definedName name="_xlnm.Print_Area" localSheetId="59">'332'!$A$1:$Z$90</definedName>
    <definedName name="_xlnm.Print_Area" localSheetId="73">'405'!$A$1:$Z$96</definedName>
    <definedName name="_xlnm.Print_Area" localSheetId="74">'406'!$A$1:$Z$42</definedName>
    <definedName name="_xlnm.Print_Area" localSheetId="75">'411'!$A$1:$Z$92</definedName>
    <definedName name="_xlnm.Print_Area" localSheetId="76">'412'!$A$1:$Z$88</definedName>
    <definedName name="_xlnm.Print_Area" localSheetId="77">'413'!$A$1:$Z$89</definedName>
    <definedName name="_xlnm.Print_Area" localSheetId="78">'414'!$A$1:$Z$88</definedName>
    <definedName name="_xlnm.Print_Area" localSheetId="79">'415'!$A$1:$Z$106</definedName>
    <definedName name="_xlnm.Print_Area" localSheetId="80">'418'!$A$1:$Z$94</definedName>
    <definedName name="_xlnm.Print_Area" localSheetId="81">'420'!$A$1:$Z$35</definedName>
    <definedName name="_xlnm.Print_Area" localSheetId="82">'423'!$A$1:$Z$66</definedName>
    <definedName name="_xlnm.Print_Area" localSheetId="83">'424'!$A$1:$Z$40</definedName>
    <definedName name="_xlnm.Print_Area" localSheetId="84">'425'!$A$1:$Z$49</definedName>
    <definedName name="_xlnm.Print_Area" localSheetId="87">'430'!$A$1:$Z$66</definedName>
    <definedName name="_xlnm.Print_Area" localSheetId="88">'433'!$A$1:$Z$98</definedName>
    <definedName name="_xlnm.Print_Area" localSheetId="89">'435'!$A$1:$Z$34</definedName>
    <definedName name="_xlnm.Print_Area" localSheetId="90">'444'!$A$1:$Z$105</definedName>
    <definedName name="_xlnm.Print_Area" localSheetId="91">'450'!$A$1:$Z$96</definedName>
    <definedName name="_xlnm.Print_Area" localSheetId="85">'455'!$A$1:$Z$34</definedName>
    <definedName name="_xlnm.Print_Area" localSheetId="72">'491'!$A$1:$Z$129</definedName>
    <definedName name="_xlnm.Print_Area" localSheetId="86">'492'!$A$1:$Z$111</definedName>
    <definedName name="_xlnm.Print_Area" localSheetId="93">'501'!$A$1:$Z$81</definedName>
    <definedName name="_xlnm.Print_Area" localSheetId="94">Dept!$A$1:$Z$39</definedName>
    <definedName name="_xlnm.Print_Area" localSheetId="5">'Div 1'!$A$1:$Z$34</definedName>
    <definedName name="_xlnm.Print_Area" localSheetId="39">'Div 2'!$A$1:$Z$112</definedName>
    <definedName name="_xlnm.Print_Area" localSheetId="47">'Div 3'!$A$1:$Z$235</definedName>
    <definedName name="_xlnm.Print_Area" localSheetId="70">'Div 4'!$A$1:$Z$137</definedName>
    <definedName name="_xlnm.Print_Area" localSheetId="92">'Div 5'!$A$1:$Z$81</definedName>
    <definedName name="_xlnm.Print_Area" localSheetId="61">'Div 6'!$A$1:$Z$110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Summary!$A$1:$Z$272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3" i="109" l="1"/>
  <c r="X73" i="109"/>
  <c r="L73" i="109"/>
  <c r="N73" i="109" s="1"/>
  <c r="P69" i="109"/>
  <c r="X69" i="109" s="1"/>
  <c r="Z69" i="109" s="1"/>
  <c r="D69" i="109"/>
  <c r="B69" i="109"/>
  <c r="T68" i="109"/>
  <c r="P68" i="109"/>
  <c r="X68" i="109" s="1"/>
  <c r="H68" i="109"/>
  <c r="Z66" i="109"/>
  <c r="X66" i="109"/>
  <c r="L66" i="109"/>
  <c r="N66" i="109" s="1"/>
  <c r="B66" i="109"/>
  <c r="Z65" i="109"/>
  <c r="X65" i="109"/>
  <c r="T65" i="109"/>
  <c r="P65" i="109"/>
  <c r="H65" i="109"/>
  <c r="D65" i="109"/>
  <c r="L65" i="109" s="1"/>
  <c r="B65" i="109"/>
  <c r="Z64" i="109"/>
  <c r="X64" i="109"/>
  <c r="N64" i="109"/>
  <c r="L64" i="109"/>
  <c r="B64" i="109"/>
  <c r="X63" i="109"/>
  <c r="Z63" i="109" s="1"/>
  <c r="L63" i="109"/>
  <c r="N63" i="109" s="1"/>
  <c r="B63" i="109"/>
  <c r="T62" i="109"/>
  <c r="P62" i="109"/>
  <c r="X62" i="109" s="1"/>
  <c r="N62" i="109"/>
  <c r="H62" i="109"/>
  <c r="D62" i="109"/>
  <c r="L62" i="109" s="1"/>
  <c r="B62" i="109"/>
  <c r="Z61" i="109"/>
  <c r="X61" i="109"/>
  <c r="N61" i="109"/>
  <c r="L61" i="109"/>
  <c r="B61" i="109"/>
  <c r="Z60" i="109"/>
  <c r="X60" i="109"/>
  <c r="N60" i="109"/>
  <c r="L60" i="109"/>
  <c r="B60" i="109"/>
  <c r="X59" i="109"/>
  <c r="Z59" i="109" s="1"/>
  <c r="N59" i="109"/>
  <c r="L59" i="109"/>
  <c r="B59" i="109"/>
  <c r="X58" i="109"/>
  <c r="Z58" i="109" s="1"/>
  <c r="N58" i="109"/>
  <c r="L58" i="109"/>
  <c r="B58" i="109"/>
  <c r="T57" i="109"/>
  <c r="P57" i="109"/>
  <c r="X57" i="109" s="1"/>
  <c r="H57" i="109"/>
  <c r="D57" i="109"/>
  <c r="B57" i="109"/>
  <c r="X56" i="109"/>
  <c r="Z56" i="109" s="1"/>
  <c r="N56" i="109"/>
  <c r="L56" i="109"/>
  <c r="B56" i="109"/>
  <c r="T55" i="109"/>
  <c r="P55" i="109"/>
  <c r="X55" i="109" s="1"/>
  <c r="L55" i="109"/>
  <c r="N55" i="109" s="1"/>
  <c r="H55" i="109"/>
  <c r="D55" i="109"/>
  <c r="B55" i="109"/>
  <c r="X54" i="109"/>
  <c r="Z54" i="109" s="1"/>
  <c r="N54" i="109"/>
  <c r="L54" i="109"/>
  <c r="B54" i="109"/>
  <c r="Z53" i="109"/>
  <c r="X53" i="109"/>
  <c r="T53" i="109"/>
  <c r="P53" i="109"/>
  <c r="N53" i="109"/>
  <c r="L53" i="109"/>
  <c r="H53" i="109"/>
  <c r="D53" i="109"/>
  <c r="B53" i="109"/>
  <c r="Z52" i="109"/>
  <c r="X52" i="109"/>
  <c r="L52" i="109"/>
  <c r="N52" i="109" s="1"/>
  <c r="B52" i="109"/>
  <c r="T51" i="109"/>
  <c r="P51" i="109"/>
  <c r="H51" i="109"/>
  <c r="F51" i="109"/>
  <c r="D51" i="109"/>
  <c r="B51" i="109"/>
  <c r="X50" i="109"/>
  <c r="Z50" i="109" s="1"/>
  <c r="L50" i="109"/>
  <c r="N50" i="109" s="1"/>
  <c r="B50" i="109"/>
  <c r="Z49" i="109"/>
  <c r="X49" i="109"/>
  <c r="N49" i="109"/>
  <c r="L49" i="109"/>
  <c r="B49" i="109"/>
  <c r="X48" i="109"/>
  <c r="T48" i="109"/>
  <c r="P48" i="109"/>
  <c r="H48" i="109"/>
  <c r="D48" i="109"/>
  <c r="L48" i="109" s="1"/>
  <c r="N48" i="109" s="1"/>
  <c r="B48" i="109"/>
  <c r="X47" i="109"/>
  <c r="Z47" i="109" s="1"/>
  <c r="L47" i="109"/>
  <c r="N47" i="109" s="1"/>
  <c r="B47" i="109"/>
  <c r="T46" i="109"/>
  <c r="P46" i="109"/>
  <c r="H46" i="109"/>
  <c r="D46" i="109"/>
  <c r="B46" i="109"/>
  <c r="Z45" i="109"/>
  <c r="X45" i="109"/>
  <c r="N45" i="109"/>
  <c r="L45" i="109"/>
  <c r="B45" i="109"/>
  <c r="Z44" i="109"/>
  <c r="T44" i="109"/>
  <c r="P44" i="109"/>
  <c r="X44" i="109" s="1"/>
  <c r="H44" i="109"/>
  <c r="F44" i="109"/>
  <c r="D44" i="109"/>
  <c r="L44" i="109" s="1"/>
  <c r="N44" i="109" s="1"/>
  <c r="B44" i="109"/>
  <c r="Z43" i="109"/>
  <c r="X43" i="109"/>
  <c r="L43" i="109"/>
  <c r="N43" i="109" s="1"/>
  <c r="B43" i="109"/>
  <c r="X42" i="109"/>
  <c r="Z42" i="109" s="1"/>
  <c r="T42" i="109"/>
  <c r="P42" i="109"/>
  <c r="L42" i="109"/>
  <c r="H42" i="109"/>
  <c r="D42" i="109"/>
  <c r="B42" i="109"/>
  <c r="Z41" i="109"/>
  <c r="X41" i="109"/>
  <c r="N41" i="109"/>
  <c r="L41" i="109"/>
  <c r="J41" i="109"/>
  <c r="B41" i="109"/>
  <c r="Z40" i="109"/>
  <c r="X40" i="109"/>
  <c r="N40" i="109"/>
  <c r="L40" i="109"/>
  <c r="B40" i="109"/>
  <c r="Z39" i="109"/>
  <c r="X39" i="109"/>
  <c r="L39" i="109"/>
  <c r="N39" i="109" s="1"/>
  <c r="B39" i="109"/>
  <c r="X38" i="109"/>
  <c r="Z38" i="109" s="1"/>
  <c r="N38" i="109"/>
  <c r="L38" i="109"/>
  <c r="J38" i="109"/>
  <c r="B38" i="109"/>
  <c r="Z37" i="109"/>
  <c r="X37" i="109"/>
  <c r="N37" i="109"/>
  <c r="L37" i="109"/>
  <c r="B37" i="109"/>
  <c r="Z36" i="109"/>
  <c r="X36" i="109"/>
  <c r="R36" i="109"/>
  <c r="N36" i="109"/>
  <c r="L36" i="109"/>
  <c r="B36" i="109"/>
  <c r="X35" i="109"/>
  <c r="Z35" i="109" s="1"/>
  <c r="L35" i="109"/>
  <c r="N35" i="109" s="1"/>
  <c r="B35" i="109"/>
  <c r="Z34" i="109"/>
  <c r="X34" i="109"/>
  <c r="N34" i="109"/>
  <c r="L34" i="109"/>
  <c r="B34" i="109"/>
  <c r="Z33" i="109"/>
  <c r="X33" i="109"/>
  <c r="L33" i="109"/>
  <c r="N33" i="109" s="1"/>
  <c r="J33" i="109"/>
  <c r="B33" i="109"/>
  <c r="Z32" i="109"/>
  <c r="X32" i="109"/>
  <c r="N32" i="109"/>
  <c r="L32" i="109"/>
  <c r="B32" i="109"/>
  <c r="Z31" i="109"/>
  <c r="X31" i="109"/>
  <c r="T31" i="109"/>
  <c r="P31" i="109"/>
  <c r="H31" i="109"/>
  <c r="D31" i="109"/>
  <c r="L31" i="109" s="1"/>
  <c r="N31" i="109" s="1"/>
  <c r="B31" i="109"/>
  <c r="Z30" i="109"/>
  <c r="X30" i="109"/>
  <c r="N30" i="109"/>
  <c r="L30" i="109"/>
  <c r="B30" i="109"/>
  <c r="Z29" i="109"/>
  <c r="X29" i="109"/>
  <c r="N29" i="109"/>
  <c r="L29" i="109"/>
  <c r="B29" i="109"/>
  <c r="Z28" i="109"/>
  <c r="X28" i="109"/>
  <c r="L28" i="109"/>
  <c r="N28" i="109" s="1"/>
  <c r="B28" i="109"/>
  <c r="Z27" i="109"/>
  <c r="X27" i="109"/>
  <c r="N27" i="109"/>
  <c r="L27" i="109"/>
  <c r="B27" i="109"/>
  <c r="Z26" i="109"/>
  <c r="X26" i="109"/>
  <c r="V26" i="109"/>
  <c r="N26" i="109"/>
  <c r="L26" i="109"/>
  <c r="B26" i="109"/>
  <c r="X25" i="109"/>
  <c r="Z25" i="109" s="1"/>
  <c r="L25" i="109"/>
  <c r="N25" i="109" s="1"/>
  <c r="B25" i="109"/>
  <c r="Z24" i="109"/>
  <c r="X24" i="109"/>
  <c r="L24" i="109"/>
  <c r="N24" i="109" s="1"/>
  <c r="B24" i="109"/>
  <c r="X23" i="109"/>
  <c r="Z23" i="109" s="1"/>
  <c r="V23" i="109"/>
  <c r="N23" i="109"/>
  <c r="L23" i="109"/>
  <c r="B23" i="109"/>
  <c r="X22" i="109"/>
  <c r="Z22" i="109" s="1"/>
  <c r="L22" i="109"/>
  <c r="N22" i="109" s="1"/>
  <c r="J22" i="109"/>
  <c r="B22" i="109"/>
  <c r="X21" i="109"/>
  <c r="Z21" i="109" s="1"/>
  <c r="L21" i="109"/>
  <c r="N21" i="109" s="1"/>
  <c r="B21" i="109"/>
  <c r="X20" i="109"/>
  <c r="T20" i="109"/>
  <c r="Z20" i="109" s="1"/>
  <c r="P20" i="109"/>
  <c r="H20" i="109"/>
  <c r="D20" i="109"/>
  <c r="L20" i="109" s="1"/>
  <c r="N20" i="109" s="1"/>
  <c r="B20" i="109"/>
  <c r="T19" i="109"/>
  <c r="P19" i="109"/>
  <c r="X19" i="109" s="1"/>
  <c r="Z19" i="109" s="1"/>
  <c r="H19" i="109"/>
  <c r="N19" i="109" s="1"/>
  <c r="D19" i="109"/>
  <c r="L19" i="109" s="1"/>
  <c r="Z15" i="109"/>
  <c r="T15" i="109"/>
  <c r="P15" i="109"/>
  <c r="X15" i="109" s="1"/>
  <c r="L15" i="109"/>
  <c r="H15" i="109"/>
  <c r="N15" i="109" s="1"/>
  <c r="D15" i="109"/>
  <c r="X13" i="109"/>
  <c r="Z13" i="109" s="1"/>
  <c r="P13" i="109"/>
  <c r="P12" i="109" s="1"/>
  <c r="R45" i="109" s="1"/>
  <c r="N13" i="109"/>
  <c r="L13" i="109"/>
  <c r="D13" i="109"/>
  <c r="B13" i="109"/>
  <c r="T12" i="109"/>
  <c r="H12" i="109"/>
  <c r="J68" i="109" s="1"/>
  <c r="D12" i="109"/>
  <c r="D6" i="109"/>
  <c r="D4" i="109"/>
  <c r="J31" i="108"/>
  <c r="R28" i="108"/>
  <c r="Z26" i="108"/>
  <c r="X26" i="108"/>
  <c r="N26" i="108"/>
  <c r="L26" i="108"/>
  <c r="R24" i="108"/>
  <c r="J24" i="108"/>
  <c r="Z22" i="108"/>
  <c r="X22" i="108"/>
  <c r="R22" i="108"/>
  <c r="P22" i="108"/>
  <c r="N22" i="108"/>
  <c r="J22" i="108"/>
  <c r="D22" i="108"/>
  <c r="L22" i="108" s="1"/>
  <c r="B22" i="108"/>
  <c r="Z21" i="108"/>
  <c r="X21" i="108"/>
  <c r="P21" i="108"/>
  <c r="N21" i="108"/>
  <c r="L21" i="108"/>
  <c r="J21" i="108"/>
  <c r="F21" i="108"/>
  <c r="D21" i="108"/>
  <c r="D20" i="108" s="1"/>
  <c r="B21" i="108"/>
  <c r="Z20" i="108"/>
  <c r="T20" i="108"/>
  <c r="P20" i="108"/>
  <c r="X20" i="108" s="1"/>
  <c r="J20" i="108"/>
  <c r="H20" i="108"/>
  <c r="N20" i="108" s="1"/>
  <c r="F20" i="108"/>
  <c r="Z18" i="108"/>
  <c r="T18" i="108"/>
  <c r="P18" i="108"/>
  <c r="X18" i="108" s="1"/>
  <c r="J18" i="108"/>
  <c r="H18" i="108"/>
  <c r="N18" i="108" s="1"/>
  <c r="F18" i="108"/>
  <c r="D18" i="108"/>
  <c r="P16" i="108"/>
  <c r="J16" i="108"/>
  <c r="H16" i="108"/>
  <c r="Z14" i="108"/>
  <c r="T14" i="108"/>
  <c r="P14" i="108"/>
  <c r="X14" i="108" s="1"/>
  <c r="L14" i="108"/>
  <c r="J14" i="108"/>
  <c r="H14" i="108"/>
  <c r="N14" i="108" s="1"/>
  <c r="F14" i="108"/>
  <c r="D14" i="108"/>
  <c r="T12" i="108"/>
  <c r="P12" i="108"/>
  <c r="R26" i="108" s="1"/>
  <c r="H12" i="108"/>
  <c r="J26" i="108" s="1"/>
  <c r="D12" i="108"/>
  <c r="F31" i="108" s="1"/>
  <c r="D6" i="108"/>
  <c r="D4" i="108"/>
  <c r="Z88" i="107"/>
  <c r="X88" i="107"/>
  <c r="N88" i="107"/>
  <c r="L88" i="107"/>
  <c r="X84" i="107"/>
  <c r="T84" i="107"/>
  <c r="Z84" i="107" s="1"/>
  <c r="P84" i="107"/>
  <c r="N84" i="107"/>
  <c r="J84" i="107"/>
  <c r="H84" i="107"/>
  <c r="D84" i="107"/>
  <c r="L84" i="107" s="1"/>
  <c r="X82" i="107"/>
  <c r="Z82" i="107" s="1"/>
  <c r="N82" i="107"/>
  <c r="L82" i="107"/>
  <c r="B82" i="107"/>
  <c r="T81" i="107"/>
  <c r="P81" i="107"/>
  <c r="X81" i="107" s="1"/>
  <c r="N81" i="107"/>
  <c r="L81" i="107"/>
  <c r="H81" i="107"/>
  <c r="D81" i="107"/>
  <c r="B81" i="107"/>
  <c r="Z80" i="107"/>
  <c r="X80" i="107"/>
  <c r="N80" i="107"/>
  <c r="L80" i="107"/>
  <c r="B80" i="107"/>
  <c r="X79" i="107"/>
  <c r="Z79" i="107" s="1"/>
  <c r="N79" i="107"/>
  <c r="L79" i="107"/>
  <c r="B79" i="107"/>
  <c r="Z78" i="107"/>
  <c r="X78" i="107"/>
  <c r="T78" i="107"/>
  <c r="P78" i="107"/>
  <c r="H78" i="107"/>
  <c r="D78" i="107"/>
  <c r="B78" i="107"/>
  <c r="X77" i="107"/>
  <c r="Z77" i="107" s="1"/>
  <c r="N77" i="107"/>
  <c r="L77" i="107"/>
  <c r="B77" i="107"/>
  <c r="X76" i="107"/>
  <c r="Z76" i="107" s="1"/>
  <c r="N76" i="107"/>
  <c r="L76" i="107"/>
  <c r="B76" i="107"/>
  <c r="Z75" i="107"/>
  <c r="X75" i="107"/>
  <c r="N75" i="107"/>
  <c r="L75" i="107"/>
  <c r="B75" i="107"/>
  <c r="Z74" i="107"/>
  <c r="X74" i="107"/>
  <c r="L74" i="107"/>
  <c r="N74" i="107" s="1"/>
  <c r="B74" i="107"/>
  <c r="X73" i="107"/>
  <c r="Z73" i="107" s="1"/>
  <c r="L73" i="107"/>
  <c r="N73" i="107" s="1"/>
  <c r="B73" i="107"/>
  <c r="X72" i="107"/>
  <c r="Z72" i="107" s="1"/>
  <c r="N72" i="107"/>
  <c r="L72" i="107"/>
  <c r="B72" i="107"/>
  <c r="Z71" i="107"/>
  <c r="X71" i="107"/>
  <c r="N71" i="107"/>
  <c r="L71" i="107"/>
  <c r="B71" i="107"/>
  <c r="T70" i="107"/>
  <c r="P70" i="107"/>
  <c r="L70" i="107"/>
  <c r="H70" i="107"/>
  <c r="D70" i="107"/>
  <c r="B70" i="107"/>
  <c r="X69" i="107"/>
  <c r="Z69" i="107" s="1"/>
  <c r="N69" i="107"/>
  <c r="L69" i="107"/>
  <c r="J69" i="107"/>
  <c r="F69" i="107"/>
  <c r="B69" i="107"/>
  <c r="Z68" i="107"/>
  <c r="X68" i="107"/>
  <c r="L68" i="107"/>
  <c r="N68" i="107" s="1"/>
  <c r="B68" i="107"/>
  <c r="Z67" i="107"/>
  <c r="X67" i="107"/>
  <c r="L67" i="107"/>
  <c r="N67" i="107" s="1"/>
  <c r="B67" i="107"/>
  <c r="T66" i="107"/>
  <c r="X66" i="107" s="1"/>
  <c r="P66" i="107"/>
  <c r="H66" i="107"/>
  <c r="D66" i="107"/>
  <c r="L66" i="107" s="1"/>
  <c r="N66" i="107" s="1"/>
  <c r="B66" i="107"/>
  <c r="Z65" i="107"/>
  <c r="X65" i="107"/>
  <c r="L65" i="107"/>
  <c r="N65" i="107" s="1"/>
  <c r="B65" i="107"/>
  <c r="T64" i="107"/>
  <c r="P64" i="107"/>
  <c r="X64" i="107" s="1"/>
  <c r="N64" i="107"/>
  <c r="L64" i="107"/>
  <c r="H64" i="107"/>
  <c r="D64" i="107"/>
  <c r="B64" i="107"/>
  <c r="Z63" i="107"/>
  <c r="X63" i="107"/>
  <c r="N63" i="107"/>
  <c r="L63" i="107"/>
  <c r="B63" i="107"/>
  <c r="T62" i="107"/>
  <c r="P62" i="107"/>
  <c r="X62" i="107" s="1"/>
  <c r="L62" i="107"/>
  <c r="H62" i="107"/>
  <c r="D62" i="107"/>
  <c r="B62" i="107"/>
  <c r="X61" i="107"/>
  <c r="Z61" i="107" s="1"/>
  <c r="N61" i="107"/>
  <c r="L61" i="107"/>
  <c r="J61" i="107"/>
  <c r="F61" i="107"/>
  <c r="B61" i="107"/>
  <c r="Z60" i="107"/>
  <c r="T60" i="107"/>
  <c r="P60" i="107"/>
  <c r="X60" i="107" s="1"/>
  <c r="L60" i="107"/>
  <c r="H60" i="107"/>
  <c r="D60" i="107"/>
  <c r="B60" i="107"/>
  <c r="X59" i="107"/>
  <c r="Z59" i="107" s="1"/>
  <c r="N59" i="107"/>
  <c r="L59" i="107"/>
  <c r="B59" i="107"/>
  <c r="Z58" i="107"/>
  <c r="X58" i="107"/>
  <c r="T58" i="107"/>
  <c r="P58" i="107"/>
  <c r="H58" i="107"/>
  <c r="D58" i="107"/>
  <c r="B58" i="107"/>
  <c r="Z57" i="107"/>
  <c r="X57" i="107"/>
  <c r="N57" i="107"/>
  <c r="L57" i="107"/>
  <c r="B57" i="107"/>
  <c r="X56" i="107"/>
  <c r="T56" i="107"/>
  <c r="Z56" i="107" s="1"/>
  <c r="P56" i="107"/>
  <c r="N56" i="107"/>
  <c r="H56" i="107"/>
  <c r="D56" i="107"/>
  <c r="L56" i="107" s="1"/>
  <c r="B56" i="107"/>
  <c r="Z55" i="107"/>
  <c r="X55" i="107"/>
  <c r="L55" i="107"/>
  <c r="N55" i="107" s="1"/>
  <c r="B55" i="107"/>
  <c r="T54" i="107"/>
  <c r="P54" i="107"/>
  <c r="H54" i="107"/>
  <c r="D54" i="107"/>
  <c r="L54" i="107" s="1"/>
  <c r="N54" i="107" s="1"/>
  <c r="B54" i="107"/>
  <c r="Z53" i="107"/>
  <c r="X53" i="107"/>
  <c r="L53" i="107"/>
  <c r="N53" i="107" s="1"/>
  <c r="B53" i="107"/>
  <c r="T52" i="107"/>
  <c r="P52" i="107"/>
  <c r="N52" i="107"/>
  <c r="L52" i="107"/>
  <c r="H52" i="107"/>
  <c r="D52" i="107"/>
  <c r="B52" i="107"/>
  <c r="Z51" i="107"/>
  <c r="X51" i="107"/>
  <c r="N51" i="107"/>
  <c r="L51" i="107"/>
  <c r="B51" i="107"/>
  <c r="Z50" i="107"/>
  <c r="T50" i="107"/>
  <c r="P50" i="107"/>
  <c r="X50" i="107" s="1"/>
  <c r="L50" i="107"/>
  <c r="J50" i="107"/>
  <c r="H50" i="107"/>
  <c r="D50" i="107"/>
  <c r="B50" i="107"/>
  <c r="Z49" i="107"/>
  <c r="X49" i="107"/>
  <c r="N49" i="107"/>
  <c r="L49" i="107"/>
  <c r="F49" i="107"/>
  <c r="B49" i="107"/>
  <c r="Z48" i="107"/>
  <c r="T48" i="107"/>
  <c r="P48" i="107"/>
  <c r="X48" i="107" s="1"/>
  <c r="H48" i="107"/>
  <c r="D48" i="107"/>
  <c r="B48" i="107"/>
  <c r="X47" i="107"/>
  <c r="Z47" i="107" s="1"/>
  <c r="N47" i="107"/>
  <c r="L47" i="107"/>
  <c r="B47" i="107"/>
  <c r="Z46" i="107"/>
  <c r="X46" i="107"/>
  <c r="T46" i="107"/>
  <c r="P46" i="107"/>
  <c r="H46" i="107"/>
  <c r="D46" i="107"/>
  <c r="L46" i="107" s="1"/>
  <c r="B46" i="107"/>
  <c r="X45" i="107"/>
  <c r="Z45" i="107" s="1"/>
  <c r="N45" i="107"/>
  <c r="L45" i="107"/>
  <c r="B45" i="107"/>
  <c r="X44" i="107"/>
  <c r="T44" i="107"/>
  <c r="P44" i="107"/>
  <c r="N44" i="107"/>
  <c r="H44" i="107"/>
  <c r="D44" i="107"/>
  <c r="L44" i="107" s="1"/>
  <c r="B44" i="107"/>
  <c r="Z43" i="107"/>
  <c r="X43" i="107"/>
  <c r="N43" i="107"/>
  <c r="L43" i="107"/>
  <c r="B43" i="107"/>
  <c r="Z42" i="107"/>
  <c r="X42" i="107"/>
  <c r="N42" i="107"/>
  <c r="L42" i="107"/>
  <c r="B42" i="107"/>
  <c r="X41" i="107"/>
  <c r="Z41" i="107" s="1"/>
  <c r="N41" i="107"/>
  <c r="L41" i="107"/>
  <c r="B41" i="107"/>
  <c r="Z40" i="107"/>
  <c r="X40" i="107"/>
  <c r="N40" i="107"/>
  <c r="L40" i="107"/>
  <c r="B40" i="107"/>
  <c r="Z39" i="107"/>
  <c r="X39" i="107"/>
  <c r="N39" i="107"/>
  <c r="L39" i="107"/>
  <c r="B39" i="107"/>
  <c r="X38" i="107"/>
  <c r="Z38" i="107" s="1"/>
  <c r="N38" i="107"/>
  <c r="L38" i="107"/>
  <c r="B38" i="107"/>
  <c r="X37" i="107"/>
  <c r="Z37" i="107" s="1"/>
  <c r="N37" i="107"/>
  <c r="L37" i="107"/>
  <c r="J37" i="107"/>
  <c r="F37" i="107"/>
  <c r="B37" i="107"/>
  <c r="Z36" i="107"/>
  <c r="X36" i="107"/>
  <c r="N36" i="107"/>
  <c r="L36" i="107"/>
  <c r="B36" i="107"/>
  <c r="X35" i="107"/>
  <c r="Z35" i="107" s="1"/>
  <c r="L35" i="107"/>
  <c r="N35" i="107" s="1"/>
  <c r="B35" i="107"/>
  <c r="Z34" i="107"/>
  <c r="X34" i="107"/>
  <c r="N34" i="107"/>
  <c r="L34" i="107"/>
  <c r="B34" i="107"/>
  <c r="T33" i="107"/>
  <c r="Z33" i="107" s="1"/>
  <c r="P33" i="107"/>
  <c r="X33" i="107" s="1"/>
  <c r="H33" i="107"/>
  <c r="D33" i="107"/>
  <c r="L33" i="107" s="1"/>
  <c r="N33" i="107" s="1"/>
  <c r="B33" i="107"/>
  <c r="Z32" i="107"/>
  <c r="X32" i="107"/>
  <c r="N32" i="107"/>
  <c r="L32" i="107"/>
  <c r="B32" i="107"/>
  <c r="X31" i="107"/>
  <c r="Z31" i="107" s="1"/>
  <c r="N31" i="107"/>
  <c r="L31" i="107"/>
  <c r="B31" i="107"/>
  <c r="X30" i="107"/>
  <c r="Z30" i="107" s="1"/>
  <c r="V30" i="107"/>
  <c r="N30" i="107"/>
  <c r="L30" i="107"/>
  <c r="B30" i="107"/>
  <c r="Z29" i="107"/>
  <c r="X29" i="107"/>
  <c r="N29" i="107"/>
  <c r="L29" i="107"/>
  <c r="B29" i="107"/>
  <c r="Z28" i="107"/>
  <c r="X28" i="107"/>
  <c r="N28" i="107"/>
  <c r="L28" i="107"/>
  <c r="B28" i="107"/>
  <c r="X27" i="107"/>
  <c r="Z27" i="107" s="1"/>
  <c r="N27" i="107"/>
  <c r="L27" i="107"/>
  <c r="J27" i="107"/>
  <c r="B27" i="107"/>
  <c r="X26" i="107"/>
  <c r="Z26" i="107" s="1"/>
  <c r="N26" i="107"/>
  <c r="L26" i="107"/>
  <c r="B26" i="107"/>
  <c r="Z25" i="107"/>
  <c r="X25" i="107"/>
  <c r="N25" i="107"/>
  <c r="L25" i="107"/>
  <c r="B25" i="107"/>
  <c r="X24" i="107"/>
  <c r="Z24" i="107" s="1"/>
  <c r="L24" i="107"/>
  <c r="N24" i="107" s="1"/>
  <c r="B24" i="107"/>
  <c r="X23" i="107"/>
  <c r="Z23" i="107" s="1"/>
  <c r="N23" i="107"/>
  <c r="L23" i="107"/>
  <c r="B23" i="107"/>
  <c r="X22" i="107"/>
  <c r="Z22" i="107" s="1"/>
  <c r="T22" i="107"/>
  <c r="P22" i="107"/>
  <c r="H22" i="107"/>
  <c r="D22" i="107"/>
  <c r="L22" i="107" s="1"/>
  <c r="B22" i="107"/>
  <c r="T21" i="107"/>
  <c r="P21" i="107"/>
  <c r="J21" i="107"/>
  <c r="H21" i="107"/>
  <c r="D21" i="107"/>
  <c r="L21" i="107" s="1"/>
  <c r="N21" i="107" s="1"/>
  <c r="T19" i="107"/>
  <c r="Z17" i="107"/>
  <c r="X17" i="107"/>
  <c r="L17" i="107"/>
  <c r="N17" i="107" s="1"/>
  <c r="B17" i="107"/>
  <c r="Z16" i="107"/>
  <c r="X16" i="107"/>
  <c r="T16" i="107"/>
  <c r="P16" i="107"/>
  <c r="H16" i="107"/>
  <c r="D16" i="107"/>
  <c r="Z14" i="107"/>
  <c r="P14" i="107"/>
  <c r="X14" i="107" s="1"/>
  <c r="N14" i="107"/>
  <c r="L14" i="107"/>
  <c r="D14" i="107"/>
  <c r="B14" i="107"/>
  <c r="P13" i="107"/>
  <c r="D13" i="107"/>
  <c r="D12" i="107" s="1"/>
  <c r="F88" i="107" s="1"/>
  <c r="B13" i="107"/>
  <c r="T12" i="107"/>
  <c r="H12" i="107"/>
  <c r="J79" i="107" s="1"/>
  <c r="D6" i="107"/>
  <c r="D4" i="107"/>
  <c r="X97" i="105"/>
  <c r="Z97" i="105" s="1"/>
  <c r="L97" i="105"/>
  <c r="N97" i="105" s="1"/>
  <c r="T93" i="105"/>
  <c r="Z93" i="105" s="1"/>
  <c r="P93" i="105"/>
  <c r="X93" i="105" s="1"/>
  <c r="N93" i="105"/>
  <c r="H93" i="105"/>
  <c r="D93" i="105"/>
  <c r="L93" i="105" s="1"/>
  <c r="Z91" i="105"/>
  <c r="X91" i="105"/>
  <c r="N91" i="105"/>
  <c r="L91" i="105"/>
  <c r="B91" i="105"/>
  <c r="T90" i="105"/>
  <c r="P90" i="105"/>
  <c r="X90" i="105" s="1"/>
  <c r="L90" i="105"/>
  <c r="J90" i="105"/>
  <c r="H90" i="105"/>
  <c r="D90" i="105"/>
  <c r="B90" i="105"/>
  <c r="Z89" i="105"/>
  <c r="X89" i="105"/>
  <c r="N89" i="105"/>
  <c r="L89" i="105"/>
  <c r="J89" i="105"/>
  <c r="B89" i="105"/>
  <c r="Z88" i="105"/>
  <c r="X88" i="105"/>
  <c r="N88" i="105"/>
  <c r="L88" i="105"/>
  <c r="B88" i="105"/>
  <c r="Z87" i="105"/>
  <c r="X87" i="105"/>
  <c r="T87" i="105"/>
  <c r="P87" i="105"/>
  <c r="L87" i="105"/>
  <c r="H87" i="105"/>
  <c r="N87" i="105" s="1"/>
  <c r="D87" i="105"/>
  <c r="B87" i="105"/>
  <c r="Z86" i="105"/>
  <c r="X86" i="105"/>
  <c r="N86" i="105"/>
  <c r="L86" i="105"/>
  <c r="B86" i="105"/>
  <c r="X85" i="105"/>
  <c r="Z85" i="105" s="1"/>
  <c r="L85" i="105"/>
  <c r="N85" i="105" s="1"/>
  <c r="B85" i="105"/>
  <c r="Z84" i="105"/>
  <c r="X84" i="105"/>
  <c r="N84" i="105"/>
  <c r="L84" i="105"/>
  <c r="J84" i="105"/>
  <c r="B84" i="105"/>
  <c r="Z83" i="105"/>
  <c r="X83" i="105"/>
  <c r="N83" i="105"/>
  <c r="L83" i="105"/>
  <c r="B83" i="105"/>
  <c r="Z82" i="105"/>
  <c r="X82" i="105"/>
  <c r="N82" i="105"/>
  <c r="L82" i="105"/>
  <c r="B82" i="105"/>
  <c r="X81" i="105"/>
  <c r="Z81" i="105" s="1"/>
  <c r="V81" i="105"/>
  <c r="L81" i="105"/>
  <c r="N81" i="105" s="1"/>
  <c r="B81" i="105"/>
  <c r="Z80" i="105"/>
  <c r="X80" i="105"/>
  <c r="L80" i="105"/>
  <c r="N80" i="105" s="1"/>
  <c r="J80" i="105"/>
  <c r="B80" i="105"/>
  <c r="X79" i="105"/>
  <c r="Z79" i="105" s="1"/>
  <c r="L79" i="105"/>
  <c r="N79" i="105" s="1"/>
  <c r="B79" i="105"/>
  <c r="Z78" i="105"/>
  <c r="X78" i="105"/>
  <c r="L78" i="105"/>
  <c r="N78" i="105" s="1"/>
  <c r="B78" i="105"/>
  <c r="T77" i="105"/>
  <c r="P77" i="105"/>
  <c r="X77" i="105" s="1"/>
  <c r="H77" i="105"/>
  <c r="D77" i="105"/>
  <c r="L77" i="105" s="1"/>
  <c r="B77" i="105"/>
  <c r="Z76" i="105"/>
  <c r="X76" i="105"/>
  <c r="V76" i="105"/>
  <c r="N76" i="105"/>
  <c r="L76" i="105"/>
  <c r="B76" i="105"/>
  <c r="T75" i="105"/>
  <c r="Z75" i="105" s="1"/>
  <c r="P75" i="105"/>
  <c r="X75" i="105" s="1"/>
  <c r="N75" i="105"/>
  <c r="H75" i="105"/>
  <c r="D75" i="105"/>
  <c r="L75" i="105" s="1"/>
  <c r="B75" i="105"/>
  <c r="Z74" i="105"/>
  <c r="X74" i="105"/>
  <c r="N74" i="105"/>
  <c r="L74" i="105"/>
  <c r="B74" i="105"/>
  <c r="X73" i="105"/>
  <c r="Z73" i="105" s="1"/>
  <c r="L73" i="105"/>
  <c r="N73" i="105" s="1"/>
  <c r="J73" i="105"/>
  <c r="B73" i="105"/>
  <c r="Z72" i="105"/>
  <c r="X72" i="105"/>
  <c r="N72" i="105"/>
  <c r="L72" i="105"/>
  <c r="B72" i="105"/>
  <c r="Z71" i="105"/>
  <c r="X71" i="105"/>
  <c r="T71" i="105"/>
  <c r="P71" i="105"/>
  <c r="L71" i="105"/>
  <c r="H71" i="105"/>
  <c r="N71" i="105" s="1"/>
  <c r="D71" i="105"/>
  <c r="B71" i="105"/>
  <c r="Z70" i="105"/>
  <c r="X70" i="105"/>
  <c r="N70" i="105"/>
  <c r="L70" i="105"/>
  <c r="B70" i="105"/>
  <c r="X69" i="105"/>
  <c r="Z69" i="105" s="1"/>
  <c r="L69" i="105"/>
  <c r="N69" i="105" s="1"/>
  <c r="B69" i="105"/>
  <c r="Z68" i="105"/>
  <c r="X68" i="105"/>
  <c r="N68" i="105"/>
  <c r="L68" i="105"/>
  <c r="J68" i="105"/>
  <c r="B68" i="105"/>
  <c r="X67" i="105"/>
  <c r="Z67" i="105" s="1"/>
  <c r="L67" i="105"/>
  <c r="N67" i="105" s="1"/>
  <c r="B67" i="105"/>
  <c r="Z66" i="105"/>
  <c r="X66" i="105"/>
  <c r="T66" i="105"/>
  <c r="P66" i="105"/>
  <c r="H66" i="105"/>
  <c r="D66" i="105"/>
  <c r="L66" i="105" s="1"/>
  <c r="N66" i="105" s="1"/>
  <c r="B66" i="105"/>
  <c r="X65" i="105"/>
  <c r="Z65" i="105" s="1"/>
  <c r="L65" i="105"/>
  <c r="N65" i="105" s="1"/>
  <c r="B65" i="105"/>
  <c r="X64" i="105"/>
  <c r="T64" i="105"/>
  <c r="Z64" i="105" s="1"/>
  <c r="P64" i="105"/>
  <c r="H64" i="105"/>
  <c r="D64" i="105"/>
  <c r="L64" i="105" s="1"/>
  <c r="N64" i="105" s="1"/>
  <c r="B64" i="105"/>
  <c r="Z63" i="105"/>
  <c r="X63" i="105"/>
  <c r="L63" i="105"/>
  <c r="N63" i="105" s="1"/>
  <c r="B63" i="105"/>
  <c r="T62" i="105"/>
  <c r="P62" i="105"/>
  <c r="H62" i="105"/>
  <c r="D62" i="105"/>
  <c r="L62" i="105" s="1"/>
  <c r="N62" i="105" s="1"/>
  <c r="B62" i="105"/>
  <c r="X61" i="105"/>
  <c r="Z61" i="105" s="1"/>
  <c r="L61" i="105"/>
  <c r="N61" i="105" s="1"/>
  <c r="B61" i="105"/>
  <c r="T60" i="105"/>
  <c r="P60" i="105"/>
  <c r="X60" i="105" s="1"/>
  <c r="Z60" i="105" s="1"/>
  <c r="N60" i="105"/>
  <c r="L60" i="105"/>
  <c r="H60" i="105"/>
  <c r="D60" i="105"/>
  <c r="B60" i="105"/>
  <c r="X59" i="105"/>
  <c r="Z59" i="105" s="1"/>
  <c r="L59" i="105"/>
  <c r="N59" i="105" s="1"/>
  <c r="B59" i="105"/>
  <c r="T58" i="105"/>
  <c r="P58" i="105"/>
  <c r="L58" i="105"/>
  <c r="J58" i="105"/>
  <c r="H58" i="105"/>
  <c r="D58" i="105"/>
  <c r="B58" i="105"/>
  <c r="X57" i="105"/>
  <c r="Z57" i="105" s="1"/>
  <c r="N57" i="105"/>
  <c r="L57" i="105"/>
  <c r="J57" i="105"/>
  <c r="B57" i="105"/>
  <c r="T56" i="105"/>
  <c r="P56" i="105"/>
  <c r="X56" i="105" s="1"/>
  <c r="Z56" i="105" s="1"/>
  <c r="H56" i="105"/>
  <c r="D56" i="105"/>
  <c r="L56" i="105" s="1"/>
  <c r="B56" i="105"/>
  <c r="Z55" i="105"/>
  <c r="X55" i="105"/>
  <c r="N55" i="105"/>
  <c r="L55" i="105"/>
  <c r="B55" i="105"/>
  <c r="Z54" i="105"/>
  <c r="X54" i="105"/>
  <c r="T54" i="105"/>
  <c r="P54" i="105"/>
  <c r="N54" i="105"/>
  <c r="H54" i="105"/>
  <c r="D54" i="105"/>
  <c r="L54" i="105" s="1"/>
  <c r="B54" i="105"/>
  <c r="X53" i="105"/>
  <c r="Z53" i="105" s="1"/>
  <c r="L53" i="105"/>
  <c r="N53" i="105" s="1"/>
  <c r="B53" i="105"/>
  <c r="X52" i="105"/>
  <c r="V52" i="105"/>
  <c r="T52" i="105"/>
  <c r="P52" i="105"/>
  <c r="J52" i="105"/>
  <c r="H52" i="105"/>
  <c r="D52" i="105"/>
  <c r="L52" i="105" s="1"/>
  <c r="B52" i="105"/>
  <c r="Z51" i="105"/>
  <c r="X51" i="105"/>
  <c r="N51" i="105"/>
  <c r="L51" i="105"/>
  <c r="B51" i="105"/>
  <c r="T50" i="105"/>
  <c r="P50" i="105"/>
  <c r="H50" i="105"/>
  <c r="D50" i="105"/>
  <c r="L50" i="105" s="1"/>
  <c r="N50" i="105" s="1"/>
  <c r="B50" i="105"/>
  <c r="Z49" i="105"/>
  <c r="X49" i="105"/>
  <c r="L49" i="105"/>
  <c r="N49" i="105" s="1"/>
  <c r="B49" i="105"/>
  <c r="T48" i="105"/>
  <c r="P48" i="105"/>
  <c r="X48" i="105" s="1"/>
  <c r="Z48" i="105" s="1"/>
  <c r="N48" i="105"/>
  <c r="L48" i="105"/>
  <c r="H48" i="105"/>
  <c r="D48" i="105"/>
  <c r="B48" i="105"/>
  <c r="Z47" i="105"/>
  <c r="X47" i="105"/>
  <c r="N47" i="105"/>
  <c r="L47" i="105"/>
  <c r="B47" i="105"/>
  <c r="Z46" i="105"/>
  <c r="X46" i="105"/>
  <c r="N46" i="105"/>
  <c r="L46" i="105"/>
  <c r="B46" i="105"/>
  <c r="X45" i="105"/>
  <c r="Z45" i="105" s="1"/>
  <c r="L45" i="105"/>
  <c r="N45" i="105" s="1"/>
  <c r="B45" i="105"/>
  <c r="X44" i="105"/>
  <c r="Z44" i="105" s="1"/>
  <c r="V44" i="105"/>
  <c r="N44" i="105"/>
  <c r="L44" i="105"/>
  <c r="B44" i="105"/>
  <c r="Z43" i="105"/>
  <c r="X43" i="105"/>
  <c r="N43" i="105"/>
  <c r="L43" i="105"/>
  <c r="B43" i="105"/>
  <c r="X42" i="105"/>
  <c r="Z42" i="105" s="1"/>
  <c r="N42" i="105"/>
  <c r="L42" i="105"/>
  <c r="B42" i="105"/>
  <c r="X41" i="105"/>
  <c r="Z41" i="105" s="1"/>
  <c r="L41" i="105"/>
  <c r="N41" i="105" s="1"/>
  <c r="B41" i="105"/>
  <c r="Z40" i="105"/>
  <c r="X40" i="105"/>
  <c r="V40" i="105"/>
  <c r="N40" i="105"/>
  <c r="L40" i="105"/>
  <c r="B40" i="105"/>
  <c r="X39" i="105"/>
  <c r="Z39" i="105" s="1"/>
  <c r="L39" i="105"/>
  <c r="N39" i="105" s="1"/>
  <c r="B39" i="105"/>
  <c r="Z38" i="105"/>
  <c r="X38" i="105"/>
  <c r="N38" i="105"/>
  <c r="L38" i="105"/>
  <c r="B38" i="105"/>
  <c r="T37" i="105"/>
  <c r="P37" i="105"/>
  <c r="X37" i="105" s="1"/>
  <c r="Z37" i="105" s="1"/>
  <c r="H37" i="105"/>
  <c r="D37" i="105"/>
  <c r="L37" i="105" s="1"/>
  <c r="N37" i="105" s="1"/>
  <c r="B37" i="105"/>
  <c r="Z36" i="105"/>
  <c r="X36" i="105"/>
  <c r="N36" i="105"/>
  <c r="L36" i="105"/>
  <c r="B36" i="105"/>
  <c r="Z35" i="105"/>
  <c r="X35" i="105"/>
  <c r="N35" i="105"/>
  <c r="L35" i="105"/>
  <c r="B35" i="105"/>
  <c r="X34" i="105"/>
  <c r="Z34" i="105" s="1"/>
  <c r="N34" i="105"/>
  <c r="L34" i="105"/>
  <c r="B34" i="105"/>
  <c r="Z33" i="105"/>
  <c r="X33" i="105"/>
  <c r="N33" i="105"/>
  <c r="L33" i="105"/>
  <c r="J33" i="105"/>
  <c r="B33" i="105"/>
  <c r="Z32" i="105"/>
  <c r="X32" i="105"/>
  <c r="N32" i="105"/>
  <c r="L32" i="105"/>
  <c r="B32" i="105"/>
  <c r="X31" i="105"/>
  <c r="Z31" i="105" s="1"/>
  <c r="N31" i="105"/>
  <c r="L31" i="105"/>
  <c r="B31" i="105"/>
  <c r="X30" i="105"/>
  <c r="Z30" i="105" s="1"/>
  <c r="N30" i="105"/>
  <c r="L30" i="105"/>
  <c r="B30" i="105"/>
  <c r="X29" i="105"/>
  <c r="Z29" i="105" s="1"/>
  <c r="N29" i="105"/>
  <c r="L29" i="105"/>
  <c r="J29" i="105"/>
  <c r="B29" i="105"/>
  <c r="Z28" i="105"/>
  <c r="X28" i="105"/>
  <c r="N28" i="105"/>
  <c r="L28" i="105"/>
  <c r="B28" i="105"/>
  <c r="X27" i="105"/>
  <c r="Z27" i="105" s="1"/>
  <c r="L27" i="105"/>
  <c r="N27" i="105" s="1"/>
  <c r="B27" i="105"/>
  <c r="T26" i="105"/>
  <c r="P26" i="105"/>
  <c r="H26" i="105"/>
  <c r="D26" i="105"/>
  <c r="L26" i="105" s="1"/>
  <c r="N26" i="105" s="1"/>
  <c r="B26" i="105"/>
  <c r="T25" i="105"/>
  <c r="V25" i="105" s="1"/>
  <c r="P25" i="105"/>
  <c r="H25" i="105"/>
  <c r="D25" i="105"/>
  <c r="L25" i="105" s="1"/>
  <c r="T23" i="105"/>
  <c r="H23" i="105"/>
  <c r="Z21" i="105"/>
  <c r="X21" i="105"/>
  <c r="V21" i="105"/>
  <c r="N21" i="105"/>
  <c r="L21" i="105"/>
  <c r="B21" i="105"/>
  <c r="Z20" i="105"/>
  <c r="X20" i="105"/>
  <c r="N20" i="105"/>
  <c r="L20" i="105"/>
  <c r="J20" i="105"/>
  <c r="B20" i="105"/>
  <c r="Z19" i="105"/>
  <c r="X19" i="105"/>
  <c r="L19" i="105"/>
  <c r="N19" i="105" s="1"/>
  <c r="B19" i="105"/>
  <c r="Z18" i="105"/>
  <c r="X18" i="105"/>
  <c r="T18" i="105"/>
  <c r="P18" i="105"/>
  <c r="N18" i="105"/>
  <c r="J18" i="105"/>
  <c r="H18" i="105"/>
  <c r="D18" i="105"/>
  <c r="L18" i="105" s="1"/>
  <c r="Z16" i="105"/>
  <c r="P16" i="105"/>
  <c r="X16" i="105" s="1"/>
  <c r="N16" i="105"/>
  <c r="D16" i="105"/>
  <c r="L16" i="105" s="1"/>
  <c r="B16" i="105"/>
  <c r="Z15" i="105"/>
  <c r="X15" i="105"/>
  <c r="P15" i="105"/>
  <c r="N15" i="105"/>
  <c r="L15" i="105"/>
  <c r="D15" i="105"/>
  <c r="B15" i="105"/>
  <c r="Z14" i="105"/>
  <c r="X14" i="105"/>
  <c r="P14" i="105"/>
  <c r="L14" i="105"/>
  <c r="N14" i="105" s="1"/>
  <c r="D14" i="105"/>
  <c r="B14" i="105"/>
  <c r="Z13" i="105"/>
  <c r="P13" i="105"/>
  <c r="N13" i="105"/>
  <c r="D13" i="105"/>
  <c r="L13" i="105" s="1"/>
  <c r="B13" i="105"/>
  <c r="T12" i="105"/>
  <c r="V61" i="105" s="1"/>
  <c r="H12" i="105"/>
  <c r="J74" i="105" s="1"/>
  <c r="D12" i="105"/>
  <c r="D6" i="105"/>
  <c r="D4" i="105"/>
  <c r="F31" i="104"/>
  <c r="F28" i="104"/>
  <c r="Z26" i="104"/>
  <c r="X26" i="104"/>
  <c r="N26" i="104"/>
  <c r="L26" i="104"/>
  <c r="V24" i="104"/>
  <c r="J24" i="104"/>
  <c r="F24" i="104"/>
  <c r="X22" i="104"/>
  <c r="V22" i="104"/>
  <c r="T22" i="104"/>
  <c r="Z22" i="104" s="1"/>
  <c r="P22" i="104"/>
  <c r="N22" i="104"/>
  <c r="L22" i="104"/>
  <c r="J22" i="104"/>
  <c r="H22" i="104"/>
  <c r="F22" i="104"/>
  <c r="D22" i="104"/>
  <c r="Z20" i="104"/>
  <c r="X20" i="104"/>
  <c r="V20" i="104"/>
  <c r="N20" i="104"/>
  <c r="L20" i="104"/>
  <c r="B20" i="104"/>
  <c r="T19" i="104"/>
  <c r="Z19" i="104" s="1"/>
  <c r="P19" i="104"/>
  <c r="X19" i="104" s="1"/>
  <c r="H19" i="104"/>
  <c r="N19" i="104" s="1"/>
  <c r="D19" i="104"/>
  <c r="L19" i="104" s="1"/>
  <c r="B19" i="104"/>
  <c r="T18" i="104"/>
  <c r="Z18" i="104" s="1"/>
  <c r="P18" i="104"/>
  <c r="N18" i="104"/>
  <c r="L18" i="104"/>
  <c r="H18" i="104"/>
  <c r="F18" i="104"/>
  <c r="D18" i="104"/>
  <c r="F16" i="104"/>
  <c r="T14" i="104"/>
  <c r="P14" i="104"/>
  <c r="N14" i="104"/>
  <c r="L14" i="104"/>
  <c r="H14" i="104"/>
  <c r="F14" i="104"/>
  <c r="D14" i="104"/>
  <c r="Z12" i="104"/>
  <c r="T12" i="104"/>
  <c r="V31" i="104" s="1"/>
  <c r="P12" i="104"/>
  <c r="R16" i="104" s="1"/>
  <c r="N12" i="104"/>
  <c r="H12" i="104"/>
  <c r="J19" i="104" s="1"/>
  <c r="D12" i="104"/>
  <c r="F20" i="104" s="1"/>
  <c r="D6" i="104"/>
  <c r="D4" i="104"/>
  <c r="Z90" i="103"/>
  <c r="X90" i="103"/>
  <c r="L90" i="103"/>
  <c r="N90" i="103" s="1"/>
  <c r="Z86" i="103"/>
  <c r="T86" i="103"/>
  <c r="P86" i="103"/>
  <c r="X86" i="103" s="1"/>
  <c r="N86" i="103"/>
  <c r="H86" i="103"/>
  <c r="D86" i="103"/>
  <c r="L86" i="103" s="1"/>
  <c r="Z84" i="103"/>
  <c r="X84" i="103"/>
  <c r="L84" i="103"/>
  <c r="N84" i="103" s="1"/>
  <c r="B84" i="103"/>
  <c r="T83" i="103"/>
  <c r="P83" i="103"/>
  <c r="H83" i="103"/>
  <c r="N83" i="103" s="1"/>
  <c r="D83" i="103"/>
  <c r="L83" i="103" s="1"/>
  <c r="B83" i="103"/>
  <c r="X82" i="103"/>
  <c r="Z82" i="103" s="1"/>
  <c r="N82" i="103"/>
  <c r="L82" i="103"/>
  <c r="B82" i="103"/>
  <c r="Z81" i="103"/>
  <c r="X81" i="103"/>
  <c r="N81" i="103"/>
  <c r="L81" i="103"/>
  <c r="B81" i="103"/>
  <c r="X80" i="103"/>
  <c r="Z80" i="103" s="1"/>
  <c r="N80" i="103"/>
  <c r="L80" i="103"/>
  <c r="B80" i="103"/>
  <c r="Z79" i="103"/>
  <c r="X79" i="103"/>
  <c r="L79" i="103"/>
  <c r="N79" i="103" s="1"/>
  <c r="B79" i="103"/>
  <c r="X78" i="103"/>
  <c r="Z78" i="103" s="1"/>
  <c r="L78" i="103"/>
  <c r="N78" i="103" s="1"/>
  <c r="B78" i="103"/>
  <c r="Z77" i="103"/>
  <c r="X77" i="103"/>
  <c r="L77" i="103"/>
  <c r="N77" i="103" s="1"/>
  <c r="B77" i="103"/>
  <c r="Z76" i="103"/>
  <c r="X76" i="103"/>
  <c r="N76" i="103"/>
  <c r="L76" i="103"/>
  <c r="B76" i="103"/>
  <c r="Z75" i="103"/>
  <c r="X75" i="103"/>
  <c r="L75" i="103"/>
  <c r="N75" i="103" s="1"/>
  <c r="B75" i="103"/>
  <c r="X74" i="103"/>
  <c r="V74" i="103"/>
  <c r="T74" i="103"/>
  <c r="P74" i="103"/>
  <c r="H74" i="103"/>
  <c r="D74" i="103"/>
  <c r="L74" i="103" s="1"/>
  <c r="B74" i="103"/>
  <c r="Z73" i="103"/>
  <c r="X73" i="103"/>
  <c r="N73" i="103"/>
  <c r="L73" i="103"/>
  <c r="B73" i="103"/>
  <c r="X72" i="103"/>
  <c r="Z72" i="103" s="1"/>
  <c r="R72" i="103"/>
  <c r="N72" i="103"/>
  <c r="L72" i="103"/>
  <c r="B72" i="103"/>
  <c r="X71" i="103"/>
  <c r="Z71" i="103" s="1"/>
  <c r="L71" i="103"/>
  <c r="N71" i="103" s="1"/>
  <c r="J71" i="103"/>
  <c r="B71" i="103"/>
  <c r="X70" i="103"/>
  <c r="Z70" i="103" s="1"/>
  <c r="N70" i="103"/>
  <c r="L70" i="103"/>
  <c r="B70" i="103"/>
  <c r="Z69" i="103"/>
  <c r="X69" i="103"/>
  <c r="T69" i="103"/>
  <c r="P69" i="103"/>
  <c r="L69" i="103"/>
  <c r="H69" i="103"/>
  <c r="N69" i="103" s="1"/>
  <c r="D69" i="103"/>
  <c r="B69" i="103"/>
  <c r="Z68" i="103"/>
  <c r="X68" i="103"/>
  <c r="N68" i="103"/>
  <c r="L68" i="103"/>
  <c r="B68" i="103"/>
  <c r="X67" i="103"/>
  <c r="Z67" i="103" s="1"/>
  <c r="R67" i="103"/>
  <c r="N67" i="103"/>
  <c r="L67" i="103"/>
  <c r="B67" i="103"/>
  <c r="T66" i="103"/>
  <c r="P66" i="103"/>
  <c r="X66" i="103" s="1"/>
  <c r="Z66" i="103" s="1"/>
  <c r="N66" i="103"/>
  <c r="L66" i="103"/>
  <c r="H66" i="103"/>
  <c r="D66" i="103"/>
  <c r="B66" i="103"/>
  <c r="Z65" i="103"/>
  <c r="X65" i="103"/>
  <c r="L65" i="103"/>
  <c r="N65" i="103" s="1"/>
  <c r="B65" i="103"/>
  <c r="T64" i="103"/>
  <c r="Z64" i="103" s="1"/>
  <c r="P64" i="103"/>
  <c r="X64" i="103" s="1"/>
  <c r="L64" i="103"/>
  <c r="J64" i="103"/>
  <c r="H64" i="103"/>
  <c r="N64" i="103" s="1"/>
  <c r="D64" i="103"/>
  <c r="B64" i="103"/>
  <c r="X63" i="103"/>
  <c r="Z63" i="103" s="1"/>
  <c r="L63" i="103"/>
  <c r="N63" i="103" s="1"/>
  <c r="J63" i="103"/>
  <c r="B63" i="103"/>
  <c r="T62" i="103"/>
  <c r="Z62" i="103" s="1"/>
  <c r="P62" i="103"/>
  <c r="X62" i="103" s="1"/>
  <c r="H62" i="103"/>
  <c r="D62" i="103"/>
  <c r="L62" i="103" s="1"/>
  <c r="B62" i="103"/>
  <c r="Z61" i="103"/>
  <c r="X61" i="103"/>
  <c r="N61" i="103"/>
  <c r="L61" i="103"/>
  <c r="B61" i="103"/>
  <c r="Z60" i="103"/>
  <c r="X60" i="103"/>
  <c r="T60" i="103"/>
  <c r="P60" i="103"/>
  <c r="H60" i="103"/>
  <c r="D60" i="103"/>
  <c r="L60" i="103" s="1"/>
  <c r="N60" i="103" s="1"/>
  <c r="B60" i="103"/>
  <c r="Z59" i="103"/>
  <c r="X59" i="103"/>
  <c r="L59" i="103"/>
  <c r="N59" i="103" s="1"/>
  <c r="B59" i="103"/>
  <c r="X58" i="103"/>
  <c r="T58" i="103"/>
  <c r="P58" i="103"/>
  <c r="H58" i="103"/>
  <c r="D58" i="103"/>
  <c r="L58" i="103" s="1"/>
  <c r="B58" i="103"/>
  <c r="Z57" i="103"/>
  <c r="X57" i="103"/>
  <c r="N57" i="103"/>
  <c r="L57" i="103"/>
  <c r="B57" i="103"/>
  <c r="T56" i="103"/>
  <c r="R56" i="103"/>
  <c r="P56" i="103"/>
  <c r="H56" i="103"/>
  <c r="N56" i="103" s="1"/>
  <c r="D56" i="103"/>
  <c r="L56" i="103" s="1"/>
  <c r="B56" i="103"/>
  <c r="Z55" i="103"/>
  <c r="X55" i="103"/>
  <c r="R55" i="103"/>
  <c r="N55" i="103"/>
  <c r="L55" i="103"/>
  <c r="B55" i="103"/>
  <c r="Z54" i="103"/>
  <c r="T54" i="103"/>
  <c r="P54" i="103"/>
  <c r="X54" i="103" s="1"/>
  <c r="N54" i="103"/>
  <c r="L54" i="103"/>
  <c r="H54" i="103"/>
  <c r="D54" i="103"/>
  <c r="B54" i="103"/>
  <c r="Z53" i="103"/>
  <c r="X53" i="103"/>
  <c r="L53" i="103"/>
  <c r="N53" i="103" s="1"/>
  <c r="B53" i="103"/>
  <c r="T52" i="103"/>
  <c r="Z52" i="103" s="1"/>
  <c r="P52" i="103"/>
  <c r="X52" i="103" s="1"/>
  <c r="L52" i="103"/>
  <c r="J52" i="103"/>
  <c r="H52" i="103"/>
  <c r="N52" i="103" s="1"/>
  <c r="D52" i="103"/>
  <c r="B52" i="103"/>
  <c r="X51" i="103"/>
  <c r="Z51" i="103" s="1"/>
  <c r="N51" i="103"/>
  <c r="L51" i="103"/>
  <c r="J51" i="103"/>
  <c r="B51" i="103"/>
  <c r="T50" i="103"/>
  <c r="Z50" i="103" s="1"/>
  <c r="P50" i="103"/>
  <c r="X50" i="103" s="1"/>
  <c r="H50" i="103"/>
  <c r="D50" i="103"/>
  <c r="B50" i="103"/>
  <c r="Z49" i="103"/>
  <c r="X49" i="103"/>
  <c r="N49" i="103"/>
  <c r="L49" i="103"/>
  <c r="B49" i="103"/>
  <c r="Z48" i="103"/>
  <c r="X48" i="103"/>
  <c r="T48" i="103"/>
  <c r="P48" i="103"/>
  <c r="H48" i="103"/>
  <c r="D48" i="103"/>
  <c r="L48" i="103" s="1"/>
  <c r="N48" i="103" s="1"/>
  <c r="B48" i="103"/>
  <c r="Z47" i="103"/>
  <c r="X47" i="103"/>
  <c r="N47" i="103"/>
  <c r="L47" i="103"/>
  <c r="B47" i="103"/>
  <c r="Z46" i="103"/>
  <c r="X46" i="103"/>
  <c r="N46" i="103"/>
  <c r="L46" i="103"/>
  <c r="B46" i="103"/>
  <c r="Z45" i="103"/>
  <c r="X45" i="103"/>
  <c r="N45" i="103"/>
  <c r="L45" i="103"/>
  <c r="J45" i="103"/>
  <c r="B45" i="103"/>
  <c r="Z44" i="103"/>
  <c r="X44" i="103"/>
  <c r="N44" i="103"/>
  <c r="L44" i="103"/>
  <c r="B44" i="103"/>
  <c r="Z43" i="103"/>
  <c r="X43" i="103"/>
  <c r="N43" i="103"/>
  <c r="L43" i="103"/>
  <c r="B43" i="103"/>
  <c r="Z42" i="103"/>
  <c r="X42" i="103"/>
  <c r="N42" i="103"/>
  <c r="L42" i="103"/>
  <c r="B42" i="103"/>
  <c r="Z41" i="103"/>
  <c r="X41" i="103"/>
  <c r="L41" i="103"/>
  <c r="N41" i="103" s="1"/>
  <c r="J41" i="103"/>
  <c r="B41" i="103"/>
  <c r="Z40" i="103"/>
  <c r="X40" i="103"/>
  <c r="N40" i="103"/>
  <c r="L40" i="103"/>
  <c r="B40" i="103"/>
  <c r="Z39" i="103"/>
  <c r="X39" i="103"/>
  <c r="L39" i="103"/>
  <c r="N39" i="103" s="1"/>
  <c r="B39" i="103"/>
  <c r="Z38" i="103"/>
  <c r="X38" i="103"/>
  <c r="N38" i="103"/>
  <c r="L38" i="103"/>
  <c r="B38" i="103"/>
  <c r="T37" i="103"/>
  <c r="R37" i="103"/>
  <c r="P37" i="103"/>
  <c r="X37" i="103" s="1"/>
  <c r="Z37" i="103" s="1"/>
  <c r="H37" i="103"/>
  <c r="D37" i="103"/>
  <c r="L37" i="103" s="1"/>
  <c r="N37" i="103" s="1"/>
  <c r="B37" i="103"/>
  <c r="X36" i="103"/>
  <c r="Z36" i="103" s="1"/>
  <c r="R36" i="103"/>
  <c r="N36" i="103"/>
  <c r="L36" i="103"/>
  <c r="B36" i="103"/>
  <c r="X35" i="103"/>
  <c r="Z35" i="103" s="1"/>
  <c r="N35" i="103"/>
  <c r="L35" i="103"/>
  <c r="J35" i="103"/>
  <c r="B35" i="103"/>
  <c r="X34" i="103"/>
  <c r="Z34" i="103" s="1"/>
  <c r="N34" i="103"/>
  <c r="L34" i="103"/>
  <c r="B34" i="103"/>
  <c r="Z33" i="103"/>
  <c r="X33" i="103"/>
  <c r="N33" i="103"/>
  <c r="L33" i="103"/>
  <c r="B33" i="103"/>
  <c r="Z32" i="103"/>
  <c r="X32" i="103"/>
  <c r="R32" i="103"/>
  <c r="N32" i="103"/>
  <c r="L32" i="103"/>
  <c r="B32" i="103"/>
  <c r="X31" i="103"/>
  <c r="Z31" i="103" s="1"/>
  <c r="N31" i="103"/>
  <c r="L31" i="103"/>
  <c r="J31" i="103"/>
  <c r="B31" i="103"/>
  <c r="X30" i="103"/>
  <c r="Z30" i="103" s="1"/>
  <c r="N30" i="103"/>
  <c r="L30" i="103"/>
  <c r="B30" i="103"/>
  <c r="X29" i="103"/>
  <c r="Z29" i="103" s="1"/>
  <c r="L29" i="103"/>
  <c r="N29" i="103" s="1"/>
  <c r="B29" i="103"/>
  <c r="X28" i="103"/>
  <c r="Z28" i="103" s="1"/>
  <c r="R28" i="103"/>
  <c r="N28" i="103"/>
  <c r="L28" i="103"/>
  <c r="B28" i="103"/>
  <c r="X27" i="103"/>
  <c r="Z27" i="103" s="1"/>
  <c r="N27" i="103"/>
  <c r="L27" i="103"/>
  <c r="J27" i="103"/>
  <c r="B27" i="103"/>
  <c r="T26" i="103"/>
  <c r="Z26" i="103" s="1"/>
  <c r="P26" i="103"/>
  <c r="X26" i="103" s="1"/>
  <c r="H26" i="103"/>
  <c r="D26" i="103"/>
  <c r="L26" i="103" s="1"/>
  <c r="B26" i="103"/>
  <c r="T25" i="103"/>
  <c r="P25" i="103"/>
  <c r="H25" i="103"/>
  <c r="J25" i="103" s="1"/>
  <c r="D25" i="103"/>
  <c r="H23" i="103"/>
  <c r="Z21" i="103"/>
  <c r="X21" i="103"/>
  <c r="R21" i="103"/>
  <c r="N21" i="103"/>
  <c r="L21" i="103"/>
  <c r="B21" i="103"/>
  <c r="Z20" i="103"/>
  <c r="X20" i="103"/>
  <c r="N20" i="103"/>
  <c r="L20" i="103"/>
  <c r="J20" i="103"/>
  <c r="B20" i="103"/>
  <c r="X19" i="103"/>
  <c r="Z19" i="103" s="1"/>
  <c r="R19" i="103"/>
  <c r="N19" i="103"/>
  <c r="L19" i="103"/>
  <c r="B19" i="103"/>
  <c r="T18" i="103"/>
  <c r="P18" i="103"/>
  <c r="X18" i="103" s="1"/>
  <c r="Z18" i="103" s="1"/>
  <c r="N18" i="103"/>
  <c r="L18" i="103"/>
  <c r="J18" i="103"/>
  <c r="H18" i="103"/>
  <c r="D18" i="103"/>
  <c r="Z16" i="103"/>
  <c r="P16" i="103"/>
  <c r="X16" i="103" s="1"/>
  <c r="N16" i="103"/>
  <c r="D16" i="103"/>
  <c r="L16" i="103" s="1"/>
  <c r="B16" i="103"/>
  <c r="Z15" i="103"/>
  <c r="X15" i="103"/>
  <c r="P15" i="103"/>
  <c r="N15" i="103"/>
  <c r="D15" i="103"/>
  <c r="L15" i="103" s="1"/>
  <c r="B15" i="103"/>
  <c r="Z14" i="103"/>
  <c r="X14" i="103"/>
  <c r="P14" i="103"/>
  <c r="N14" i="103"/>
  <c r="L14" i="103"/>
  <c r="D14" i="103"/>
  <c r="B14" i="103"/>
  <c r="Z13" i="103"/>
  <c r="P13" i="103"/>
  <c r="X13" i="103" s="1"/>
  <c r="N13" i="103"/>
  <c r="D13" i="103"/>
  <c r="B13" i="103"/>
  <c r="T12" i="103"/>
  <c r="P12" i="103"/>
  <c r="H12" i="103"/>
  <c r="J83" i="103" s="1"/>
  <c r="D6" i="103"/>
  <c r="D4" i="103"/>
  <c r="R63" i="102"/>
  <c r="F63" i="102"/>
  <c r="R60" i="102"/>
  <c r="F60" i="102"/>
  <c r="Z58" i="102"/>
  <c r="X58" i="102"/>
  <c r="R58" i="102"/>
  <c r="N58" i="102"/>
  <c r="L58" i="102"/>
  <c r="V56" i="102"/>
  <c r="J56" i="102"/>
  <c r="V54" i="102"/>
  <c r="T54" i="102"/>
  <c r="Z54" i="102" s="1"/>
  <c r="P54" i="102"/>
  <c r="X54" i="102" s="1"/>
  <c r="L54" i="102"/>
  <c r="J54" i="102"/>
  <c r="H54" i="102"/>
  <c r="N54" i="102" s="1"/>
  <c r="D54" i="102"/>
  <c r="X52" i="102"/>
  <c r="Z52" i="102" s="1"/>
  <c r="V52" i="102"/>
  <c r="N52" i="102"/>
  <c r="L52" i="102"/>
  <c r="F52" i="102"/>
  <c r="B52" i="102"/>
  <c r="T51" i="102"/>
  <c r="P51" i="102"/>
  <c r="X51" i="102" s="1"/>
  <c r="Z51" i="102" s="1"/>
  <c r="H51" i="102"/>
  <c r="F51" i="102"/>
  <c r="D51" i="102"/>
  <c r="L51" i="102" s="1"/>
  <c r="N51" i="102" s="1"/>
  <c r="B51" i="102"/>
  <c r="Z50" i="102"/>
  <c r="X50" i="102"/>
  <c r="N50" i="102"/>
  <c r="L50" i="102"/>
  <c r="B50" i="102"/>
  <c r="X49" i="102"/>
  <c r="Z49" i="102" s="1"/>
  <c r="T49" i="102"/>
  <c r="P49" i="102"/>
  <c r="L49" i="102"/>
  <c r="H49" i="102"/>
  <c r="N49" i="102" s="1"/>
  <c r="D49" i="102"/>
  <c r="B49" i="102"/>
  <c r="Z48" i="102"/>
  <c r="X48" i="102"/>
  <c r="L48" i="102"/>
  <c r="N48" i="102" s="1"/>
  <c r="J48" i="102"/>
  <c r="B48" i="102"/>
  <c r="X47" i="102"/>
  <c r="Z47" i="102" s="1"/>
  <c r="V47" i="102"/>
  <c r="R47" i="102"/>
  <c r="N47" i="102"/>
  <c r="L47" i="102"/>
  <c r="B47" i="102"/>
  <c r="T46" i="102"/>
  <c r="P46" i="102"/>
  <c r="X46" i="102" s="1"/>
  <c r="Z46" i="102" s="1"/>
  <c r="N46" i="102"/>
  <c r="L46" i="102"/>
  <c r="H46" i="102"/>
  <c r="D46" i="102"/>
  <c r="B46" i="102"/>
  <c r="X45" i="102"/>
  <c r="Z45" i="102" s="1"/>
  <c r="N45" i="102"/>
  <c r="L45" i="102"/>
  <c r="B45" i="102"/>
  <c r="X44" i="102"/>
  <c r="Z44" i="102" s="1"/>
  <c r="V44" i="102"/>
  <c r="N44" i="102"/>
  <c r="L44" i="102"/>
  <c r="F44" i="102"/>
  <c r="B44" i="102"/>
  <c r="Z43" i="102"/>
  <c r="X43" i="102"/>
  <c r="L43" i="102"/>
  <c r="N43" i="102" s="1"/>
  <c r="B43" i="102"/>
  <c r="X42" i="102"/>
  <c r="V42" i="102"/>
  <c r="T42" i="102"/>
  <c r="Z42" i="102" s="1"/>
  <c r="P42" i="102"/>
  <c r="J42" i="102"/>
  <c r="H42" i="102"/>
  <c r="D42" i="102"/>
  <c r="L42" i="102" s="1"/>
  <c r="B42" i="102"/>
  <c r="Z41" i="102"/>
  <c r="X41" i="102"/>
  <c r="N41" i="102"/>
  <c r="L41" i="102"/>
  <c r="F41" i="102"/>
  <c r="B41" i="102"/>
  <c r="T40" i="102"/>
  <c r="Z40" i="102" s="1"/>
  <c r="R40" i="102"/>
  <c r="P40" i="102"/>
  <c r="H40" i="102"/>
  <c r="N40" i="102" s="1"/>
  <c r="F40" i="102"/>
  <c r="D40" i="102"/>
  <c r="L40" i="102" s="1"/>
  <c r="B40" i="102"/>
  <c r="Z39" i="102"/>
  <c r="X39" i="102"/>
  <c r="V39" i="102"/>
  <c r="R39" i="102"/>
  <c r="N39" i="102"/>
  <c r="L39" i="102"/>
  <c r="B39" i="102"/>
  <c r="Z38" i="102"/>
  <c r="X38" i="102"/>
  <c r="N38" i="102"/>
  <c r="L38" i="102"/>
  <c r="J38" i="102"/>
  <c r="B38" i="102"/>
  <c r="Z37" i="102"/>
  <c r="X37" i="102"/>
  <c r="R37" i="102"/>
  <c r="N37" i="102"/>
  <c r="L37" i="102"/>
  <c r="B37" i="102"/>
  <c r="Z36" i="102"/>
  <c r="X36" i="102"/>
  <c r="N36" i="102"/>
  <c r="L36" i="102"/>
  <c r="J36" i="102"/>
  <c r="B36" i="102"/>
  <c r="Z35" i="102"/>
  <c r="X35" i="102"/>
  <c r="V35" i="102"/>
  <c r="R35" i="102"/>
  <c r="N35" i="102"/>
  <c r="L35" i="102"/>
  <c r="B35" i="102"/>
  <c r="Z34" i="102"/>
  <c r="X34" i="102"/>
  <c r="N34" i="102"/>
  <c r="L34" i="102"/>
  <c r="J34" i="102"/>
  <c r="B34" i="102"/>
  <c r="Z33" i="102"/>
  <c r="X33" i="102"/>
  <c r="R33" i="102"/>
  <c r="N33" i="102"/>
  <c r="L33" i="102"/>
  <c r="B33" i="102"/>
  <c r="Z32" i="102"/>
  <c r="X32" i="102"/>
  <c r="N32" i="102"/>
  <c r="L32" i="102"/>
  <c r="J32" i="102"/>
  <c r="B32" i="102"/>
  <c r="X31" i="102"/>
  <c r="Z31" i="102" s="1"/>
  <c r="V31" i="102"/>
  <c r="R31" i="102"/>
  <c r="N31" i="102"/>
  <c r="L31" i="102"/>
  <c r="B31" i="102"/>
  <c r="Z30" i="102"/>
  <c r="X30" i="102"/>
  <c r="N30" i="102"/>
  <c r="L30" i="102"/>
  <c r="J30" i="102"/>
  <c r="B30" i="102"/>
  <c r="T29" i="102"/>
  <c r="Z29" i="102" s="1"/>
  <c r="P29" i="102"/>
  <c r="X29" i="102" s="1"/>
  <c r="J29" i="102"/>
  <c r="H29" i="102"/>
  <c r="D29" i="102"/>
  <c r="L29" i="102" s="1"/>
  <c r="B29" i="102"/>
  <c r="Z28" i="102"/>
  <c r="X28" i="102"/>
  <c r="V28" i="102"/>
  <c r="N28" i="102"/>
  <c r="L28" i="102"/>
  <c r="F28" i="102"/>
  <c r="B28" i="102"/>
  <c r="Z27" i="102"/>
  <c r="X27" i="102"/>
  <c r="L27" i="102"/>
  <c r="N27" i="102" s="1"/>
  <c r="F27" i="102"/>
  <c r="B27" i="102"/>
  <c r="X26" i="102"/>
  <c r="Z26" i="102" s="1"/>
  <c r="V26" i="102"/>
  <c r="N26" i="102"/>
  <c r="L26" i="102"/>
  <c r="B26" i="102"/>
  <c r="Z25" i="102"/>
  <c r="X25" i="102"/>
  <c r="N25" i="102"/>
  <c r="L25" i="102"/>
  <c r="B25" i="102"/>
  <c r="X24" i="102"/>
  <c r="Z24" i="102" s="1"/>
  <c r="V24" i="102"/>
  <c r="N24" i="102"/>
  <c r="L24" i="102"/>
  <c r="F24" i="102"/>
  <c r="B24" i="102"/>
  <c r="Z23" i="102"/>
  <c r="X23" i="102"/>
  <c r="L23" i="102"/>
  <c r="N23" i="102" s="1"/>
  <c r="F23" i="102"/>
  <c r="B23" i="102"/>
  <c r="X22" i="102"/>
  <c r="Z22" i="102" s="1"/>
  <c r="V22" i="102"/>
  <c r="N22" i="102"/>
  <c r="L22" i="102"/>
  <c r="B22" i="102"/>
  <c r="X21" i="102"/>
  <c r="Z21" i="102" s="1"/>
  <c r="L21" i="102"/>
  <c r="N21" i="102" s="1"/>
  <c r="B21" i="102"/>
  <c r="X20" i="102"/>
  <c r="Z20" i="102" s="1"/>
  <c r="V20" i="102"/>
  <c r="N20" i="102"/>
  <c r="L20" i="102"/>
  <c r="F20" i="102"/>
  <c r="B20" i="102"/>
  <c r="T19" i="102"/>
  <c r="P19" i="102"/>
  <c r="X19" i="102" s="1"/>
  <c r="Z19" i="102" s="1"/>
  <c r="H19" i="102"/>
  <c r="F19" i="102"/>
  <c r="D19" i="102"/>
  <c r="L19" i="102" s="1"/>
  <c r="B19" i="102"/>
  <c r="T18" i="102"/>
  <c r="R18" i="102"/>
  <c r="P18" i="102"/>
  <c r="X18" i="102" s="1"/>
  <c r="H18" i="102"/>
  <c r="F18" i="102"/>
  <c r="D18" i="102"/>
  <c r="R16" i="102"/>
  <c r="F16" i="102"/>
  <c r="T14" i="102"/>
  <c r="Z14" i="102" s="1"/>
  <c r="R14" i="102"/>
  <c r="P14" i="102"/>
  <c r="X14" i="102" s="1"/>
  <c r="H14" i="102"/>
  <c r="N14" i="102" s="1"/>
  <c r="F14" i="102"/>
  <c r="D14" i="102"/>
  <c r="Z12" i="102"/>
  <c r="T12" i="102"/>
  <c r="V48" i="102" s="1"/>
  <c r="P12" i="102"/>
  <c r="R42" i="102" s="1"/>
  <c r="N12" i="102"/>
  <c r="L12" i="102"/>
  <c r="H12" i="102"/>
  <c r="J58" i="102" s="1"/>
  <c r="D12" i="102"/>
  <c r="F56" i="102" s="1"/>
  <c r="D6" i="102"/>
  <c r="D4" i="102"/>
  <c r="Z41" i="101"/>
  <c r="X41" i="101"/>
  <c r="N41" i="101"/>
  <c r="L41" i="101"/>
  <c r="J41" i="101"/>
  <c r="R39" i="101"/>
  <c r="T37" i="101"/>
  <c r="Z37" i="101" s="1"/>
  <c r="R37" i="101"/>
  <c r="P37" i="101"/>
  <c r="X37" i="101" s="1"/>
  <c r="H37" i="101"/>
  <c r="N37" i="101" s="1"/>
  <c r="D37" i="101"/>
  <c r="L37" i="101" s="1"/>
  <c r="Z35" i="101"/>
  <c r="X35" i="101"/>
  <c r="R35" i="101"/>
  <c r="N35" i="101"/>
  <c r="L35" i="101"/>
  <c r="B35" i="101"/>
  <c r="Z34" i="101"/>
  <c r="X34" i="101"/>
  <c r="T34" i="101"/>
  <c r="P34" i="101"/>
  <c r="N34" i="101"/>
  <c r="L34" i="101"/>
  <c r="H34" i="101"/>
  <c r="D34" i="101"/>
  <c r="B34" i="101"/>
  <c r="Z33" i="101"/>
  <c r="X33" i="101"/>
  <c r="N33" i="101"/>
  <c r="L33" i="101"/>
  <c r="J33" i="101"/>
  <c r="B33" i="101"/>
  <c r="Z32" i="101"/>
  <c r="X32" i="101"/>
  <c r="R32" i="101"/>
  <c r="N32" i="101"/>
  <c r="L32" i="101"/>
  <c r="B32" i="101"/>
  <c r="Z31" i="101"/>
  <c r="T31" i="101"/>
  <c r="P31" i="101"/>
  <c r="X31" i="101" s="1"/>
  <c r="N31" i="101"/>
  <c r="H31" i="101"/>
  <c r="D31" i="101"/>
  <c r="L31" i="101" s="1"/>
  <c r="B31" i="101"/>
  <c r="Z30" i="101"/>
  <c r="X30" i="101"/>
  <c r="N30" i="101"/>
  <c r="L30" i="101"/>
  <c r="B30" i="101"/>
  <c r="X29" i="101"/>
  <c r="T29" i="101"/>
  <c r="Z29" i="101" s="1"/>
  <c r="P29" i="101"/>
  <c r="L29" i="101"/>
  <c r="J29" i="101"/>
  <c r="H29" i="101"/>
  <c r="N29" i="101" s="1"/>
  <c r="D29" i="101"/>
  <c r="B29" i="101"/>
  <c r="Z28" i="101"/>
  <c r="X28" i="101"/>
  <c r="N28" i="101"/>
  <c r="L28" i="101"/>
  <c r="B28" i="101"/>
  <c r="T27" i="101"/>
  <c r="R27" i="101"/>
  <c r="P27" i="101"/>
  <c r="X27" i="101" s="1"/>
  <c r="H27" i="101"/>
  <c r="N27" i="101" s="1"/>
  <c r="D27" i="101"/>
  <c r="L27" i="101" s="1"/>
  <c r="B27" i="101"/>
  <c r="Z26" i="101"/>
  <c r="X26" i="101"/>
  <c r="R26" i="101"/>
  <c r="N26" i="101"/>
  <c r="L26" i="101"/>
  <c r="B26" i="101"/>
  <c r="Z25" i="101"/>
  <c r="X25" i="101"/>
  <c r="T25" i="101"/>
  <c r="P25" i="101"/>
  <c r="N25" i="101"/>
  <c r="H25" i="101"/>
  <c r="D25" i="101"/>
  <c r="L25" i="101" s="1"/>
  <c r="B25" i="101"/>
  <c r="Z24" i="101"/>
  <c r="X24" i="101"/>
  <c r="N24" i="101"/>
  <c r="L24" i="101"/>
  <c r="B24" i="101"/>
  <c r="Z23" i="101"/>
  <c r="X23" i="101"/>
  <c r="R23" i="101"/>
  <c r="N23" i="101"/>
  <c r="L23" i="101"/>
  <c r="F23" i="101"/>
  <c r="B23" i="101"/>
  <c r="Z22" i="101"/>
  <c r="X22" i="101"/>
  <c r="N22" i="101"/>
  <c r="L22" i="101"/>
  <c r="J22" i="101"/>
  <c r="B22" i="101"/>
  <c r="Z21" i="101"/>
  <c r="X21" i="101"/>
  <c r="N21" i="101"/>
  <c r="L21" i="101"/>
  <c r="F21" i="101"/>
  <c r="B21" i="101"/>
  <c r="Z20" i="101"/>
  <c r="X20" i="101"/>
  <c r="N20" i="101"/>
  <c r="L20" i="101"/>
  <c r="B20" i="101"/>
  <c r="X19" i="101"/>
  <c r="T19" i="101"/>
  <c r="Z19" i="101" s="1"/>
  <c r="P19" i="101"/>
  <c r="L19" i="101"/>
  <c r="J19" i="101"/>
  <c r="H19" i="101"/>
  <c r="N19" i="101" s="1"/>
  <c r="D19" i="101"/>
  <c r="B19" i="101"/>
  <c r="T18" i="101"/>
  <c r="P18" i="101"/>
  <c r="X18" i="101" s="1"/>
  <c r="H18" i="101"/>
  <c r="D18" i="101"/>
  <c r="L18" i="101" s="1"/>
  <c r="N18" i="101" s="1"/>
  <c r="V16" i="101"/>
  <c r="Z14" i="101"/>
  <c r="X14" i="101"/>
  <c r="T14" i="101"/>
  <c r="P14" i="101"/>
  <c r="N14" i="101"/>
  <c r="L14" i="101"/>
  <c r="H14" i="101"/>
  <c r="D14" i="101"/>
  <c r="Z12" i="101"/>
  <c r="X12" i="101"/>
  <c r="T12" i="101"/>
  <c r="P12" i="101"/>
  <c r="R29" i="101" s="1"/>
  <c r="H12" i="101"/>
  <c r="D12" i="101"/>
  <c r="F28" i="101" s="1"/>
  <c r="D6" i="101"/>
  <c r="D4" i="101"/>
  <c r="J37" i="100"/>
  <c r="R34" i="100"/>
  <c r="F34" i="100"/>
  <c r="Z32" i="100"/>
  <c r="X32" i="100"/>
  <c r="N32" i="100"/>
  <c r="L32" i="100"/>
  <c r="V30" i="100"/>
  <c r="F30" i="100"/>
  <c r="X28" i="100"/>
  <c r="V28" i="100"/>
  <c r="T28" i="100"/>
  <c r="Z28" i="100" s="1"/>
  <c r="P28" i="100"/>
  <c r="H28" i="100"/>
  <c r="N28" i="100" s="1"/>
  <c r="F28" i="100"/>
  <c r="D28" i="100"/>
  <c r="L28" i="100" s="1"/>
  <c r="Z26" i="100"/>
  <c r="X26" i="100"/>
  <c r="V26" i="100"/>
  <c r="R26" i="100"/>
  <c r="N26" i="100"/>
  <c r="L26" i="100"/>
  <c r="B26" i="100"/>
  <c r="Z25" i="100"/>
  <c r="T25" i="100"/>
  <c r="R25" i="100"/>
  <c r="P25" i="100"/>
  <c r="X25" i="100" s="1"/>
  <c r="N25" i="100"/>
  <c r="H25" i="100"/>
  <c r="D25" i="100"/>
  <c r="L25" i="100" s="1"/>
  <c r="B25" i="100"/>
  <c r="Z24" i="100"/>
  <c r="X24" i="100"/>
  <c r="R24" i="100"/>
  <c r="N24" i="100"/>
  <c r="L24" i="100"/>
  <c r="F24" i="100"/>
  <c r="B24" i="100"/>
  <c r="X23" i="100"/>
  <c r="T23" i="100"/>
  <c r="Z23" i="100" s="1"/>
  <c r="P23" i="100"/>
  <c r="N23" i="100"/>
  <c r="L23" i="100"/>
  <c r="J23" i="100"/>
  <c r="H23" i="100"/>
  <c r="F23" i="100"/>
  <c r="D23" i="100"/>
  <c r="B23" i="100"/>
  <c r="Z22" i="100"/>
  <c r="X22" i="100"/>
  <c r="N22" i="100"/>
  <c r="L22" i="100"/>
  <c r="J22" i="100"/>
  <c r="F22" i="100"/>
  <c r="B22" i="100"/>
  <c r="T21" i="100"/>
  <c r="Z21" i="100" s="1"/>
  <c r="R21" i="100"/>
  <c r="P21" i="100"/>
  <c r="X21" i="100" s="1"/>
  <c r="J21" i="100"/>
  <c r="H21" i="100"/>
  <c r="F21" i="100"/>
  <c r="D21" i="100"/>
  <c r="B21" i="100"/>
  <c r="Z20" i="100"/>
  <c r="X20" i="100"/>
  <c r="V20" i="100"/>
  <c r="R20" i="100"/>
  <c r="N20" i="100"/>
  <c r="L20" i="100"/>
  <c r="F20" i="100"/>
  <c r="B20" i="100"/>
  <c r="T19" i="100"/>
  <c r="P19" i="100"/>
  <c r="X19" i="100" s="1"/>
  <c r="Z19" i="100" s="1"/>
  <c r="H19" i="100"/>
  <c r="F19" i="100"/>
  <c r="D19" i="100"/>
  <c r="L19" i="100" s="1"/>
  <c r="N19" i="100" s="1"/>
  <c r="B19" i="100"/>
  <c r="T18" i="100"/>
  <c r="R18" i="100"/>
  <c r="P18" i="100"/>
  <c r="H18" i="100"/>
  <c r="F18" i="100"/>
  <c r="D18" i="100"/>
  <c r="R16" i="100"/>
  <c r="H16" i="100"/>
  <c r="F16" i="100"/>
  <c r="Z14" i="100"/>
  <c r="T14" i="100"/>
  <c r="R14" i="100"/>
  <c r="P14" i="100"/>
  <c r="X14" i="100" s="1"/>
  <c r="H14" i="100"/>
  <c r="N14" i="100" s="1"/>
  <c r="F14" i="100"/>
  <c r="D14" i="100"/>
  <c r="L14" i="100" s="1"/>
  <c r="X12" i="100"/>
  <c r="T12" i="100"/>
  <c r="Z12" i="100" s="1"/>
  <c r="P12" i="100"/>
  <c r="R30" i="100" s="1"/>
  <c r="N12" i="100"/>
  <c r="L12" i="100"/>
  <c r="H12" i="100"/>
  <c r="J24" i="100" s="1"/>
  <c r="D12" i="100"/>
  <c r="F37" i="100" s="1"/>
  <c r="D6" i="100"/>
  <c r="D4" i="100"/>
  <c r="Z58" i="99"/>
  <c r="X58" i="99"/>
  <c r="N58" i="99"/>
  <c r="L58" i="99"/>
  <c r="R56" i="99"/>
  <c r="R54" i="99"/>
  <c r="P54" i="99"/>
  <c r="X54" i="99" s="1"/>
  <c r="Z54" i="99" s="1"/>
  <c r="N54" i="99"/>
  <c r="L54" i="99"/>
  <c r="D54" i="99"/>
  <c r="B54" i="99"/>
  <c r="P53" i="99"/>
  <c r="N53" i="99"/>
  <c r="L53" i="99"/>
  <c r="D53" i="99"/>
  <c r="B53" i="99"/>
  <c r="X52" i="99"/>
  <c r="Z52" i="99" s="1"/>
  <c r="P52" i="99"/>
  <c r="N52" i="99"/>
  <c r="L52" i="99"/>
  <c r="D52" i="99"/>
  <c r="B52" i="99"/>
  <c r="T51" i="99"/>
  <c r="N51" i="99"/>
  <c r="L51" i="99"/>
  <c r="H51" i="99"/>
  <c r="D51" i="99"/>
  <c r="Z49" i="99"/>
  <c r="X49" i="99"/>
  <c r="N49" i="99"/>
  <c r="L49" i="99"/>
  <c r="J49" i="99"/>
  <c r="F49" i="99"/>
  <c r="B49" i="99"/>
  <c r="T48" i="99"/>
  <c r="Z48" i="99" s="1"/>
  <c r="P48" i="99"/>
  <c r="X48" i="99" s="1"/>
  <c r="H48" i="99"/>
  <c r="N48" i="99" s="1"/>
  <c r="F48" i="99"/>
  <c r="D48" i="99"/>
  <c r="L48" i="99" s="1"/>
  <c r="B48" i="99"/>
  <c r="X47" i="99"/>
  <c r="Z47" i="99" s="1"/>
  <c r="N47" i="99"/>
  <c r="L47" i="99"/>
  <c r="B47" i="99"/>
  <c r="Z46" i="99"/>
  <c r="X46" i="99"/>
  <c r="T46" i="99"/>
  <c r="P46" i="99"/>
  <c r="H46" i="99"/>
  <c r="D46" i="99"/>
  <c r="L46" i="99" s="1"/>
  <c r="N46" i="99" s="1"/>
  <c r="B46" i="99"/>
  <c r="Z45" i="99"/>
  <c r="X45" i="99"/>
  <c r="L45" i="99"/>
  <c r="N45" i="99" s="1"/>
  <c r="B45" i="99"/>
  <c r="X44" i="99"/>
  <c r="V44" i="99"/>
  <c r="T44" i="99"/>
  <c r="Z44" i="99" s="1"/>
  <c r="P44" i="99"/>
  <c r="H44" i="99"/>
  <c r="N44" i="99" s="1"/>
  <c r="D44" i="99"/>
  <c r="L44" i="99" s="1"/>
  <c r="B44" i="99"/>
  <c r="Z43" i="99"/>
  <c r="X43" i="99"/>
  <c r="N43" i="99"/>
  <c r="L43" i="99"/>
  <c r="B43" i="99"/>
  <c r="Z42" i="99"/>
  <c r="X42" i="99"/>
  <c r="R42" i="99"/>
  <c r="N42" i="99"/>
  <c r="L42" i="99"/>
  <c r="B42" i="99"/>
  <c r="X41" i="99"/>
  <c r="T41" i="99"/>
  <c r="Z41" i="99" s="1"/>
  <c r="P41" i="99"/>
  <c r="N41" i="99"/>
  <c r="L41" i="99"/>
  <c r="H41" i="99"/>
  <c r="D41" i="99"/>
  <c r="B41" i="99"/>
  <c r="X40" i="99"/>
  <c r="Z40" i="99" s="1"/>
  <c r="N40" i="99"/>
  <c r="L40" i="99"/>
  <c r="J40" i="99"/>
  <c r="B40" i="99"/>
  <c r="T39" i="99"/>
  <c r="P39" i="99"/>
  <c r="J39" i="99"/>
  <c r="H39" i="99"/>
  <c r="N39" i="99" s="1"/>
  <c r="D39" i="99"/>
  <c r="L39" i="99" s="1"/>
  <c r="B39" i="99"/>
  <c r="Z38" i="99"/>
  <c r="X38" i="99"/>
  <c r="N38" i="99"/>
  <c r="L38" i="99"/>
  <c r="F38" i="99"/>
  <c r="B38" i="99"/>
  <c r="Z37" i="99"/>
  <c r="X37" i="99"/>
  <c r="N37" i="99"/>
  <c r="L37" i="99"/>
  <c r="B37" i="99"/>
  <c r="Z36" i="99"/>
  <c r="X36" i="99"/>
  <c r="V36" i="99"/>
  <c r="N36" i="99"/>
  <c r="L36" i="99"/>
  <c r="B36" i="99"/>
  <c r="Z35" i="99"/>
  <c r="X35" i="99"/>
  <c r="N35" i="99"/>
  <c r="L35" i="99"/>
  <c r="B35" i="99"/>
  <c r="Z34" i="99"/>
  <c r="X34" i="99"/>
  <c r="N34" i="99"/>
  <c r="L34" i="99"/>
  <c r="F34" i="99"/>
  <c r="B34" i="99"/>
  <c r="Z33" i="99"/>
  <c r="X33" i="99"/>
  <c r="N33" i="99"/>
  <c r="L33" i="99"/>
  <c r="B33" i="99"/>
  <c r="Z32" i="99"/>
  <c r="X32" i="99"/>
  <c r="V32" i="99"/>
  <c r="N32" i="99"/>
  <c r="L32" i="99"/>
  <c r="B32" i="99"/>
  <c r="Z31" i="99"/>
  <c r="X31" i="99"/>
  <c r="N31" i="99"/>
  <c r="L31" i="99"/>
  <c r="B31" i="99"/>
  <c r="Z30" i="99"/>
  <c r="X30" i="99"/>
  <c r="N30" i="99"/>
  <c r="L30" i="99"/>
  <c r="F30" i="99"/>
  <c r="B30" i="99"/>
  <c r="Z29" i="99"/>
  <c r="X29" i="99"/>
  <c r="L29" i="99"/>
  <c r="N29" i="99" s="1"/>
  <c r="B29" i="99"/>
  <c r="X28" i="99"/>
  <c r="V28" i="99"/>
  <c r="T28" i="99"/>
  <c r="P28" i="99"/>
  <c r="H28" i="99"/>
  <c r="N28" i="99" s="1"/>
  <c r="D28" i="99"/>
  <c r="L28" i="99" s="1"/>
  <c r="B28" i="99"/>
  <c r="Z27" i="99"/>
  <c r="X27" i="99"/>
  <c r="N27" i="99"/>
  <c r="L27" i="99"/>
  <c r="B27" i="99"/>
  <c r="X26" i="99"/>
  <c r="Z26" i="99" s="1"/>
  <c r="R26" i="99"/>
  <c r="N26" i="99"/>
  <c r="L26" i="99"/>
  <c r="B26" i="99"/>
  <c r="Z25" i="99"/>
  <c r="X25" i="99"/>
  <c r="N25" i="99"/>
  <c r="L25" i="99"/>
  <c r="J25" i="99"/>
  <c r="F25" i="99"/>
  <c r="B25" i="99"/>
  <c r="X24" i="99"/>
  <c r="Z24" i="99" s="1"/>
  <c r="N24" i="99"/>
  <c r="L24" i="99"/>
  <c r="B24" i="99"/>
  <c r="Z23" i="99"/>
  <c r="X23" i="99"/>
  <c r="V23" i="99"/>
  <c r="L23" i="99"/>
  <c r="N23" i="99" s="1"/>
  <c r="B23" i="99"/>
  <c r="X22" i="99"/>
  <c r="Z22" i="99" s="1"/>
  <c r="R22" i="99"/>
  <c r="N22" i="99"/>
  <c r="L22" i="99"/>
  <c r="B22" i="99"/>
  <c r="X21" i="99"/>
  <c r="Z21" i="99" s="1"/>
  <c r="V21" i="99"/>
  <c r="N21" i="99"/>
  <c r="L21" i="99"/>
  <c r="J21" i="99"/>
  <c r="F21" i="99"/>
  <c r="B21" i="99"/>
  <c r="X20" i="99"/>
  <c r="Z20" i="99" s="1"/>
  <c r="V20" i="99"/>
  <c r="L20" i="99"/>
  <c r="N20" i="99" s="1"/>
  <c r="B20" i="99"/>
  <c r="X19" i="99"/>
  <c r="Z19" i="99" s="1"/>
  <c r="V19" i="99"/>
  <c r="T19" i="99"/>
  <c r="P19" i="99"/>
  <c r="H19" i="99"/>
  <c r="D19" i="99"/>
  <c r="L19" i="99" s="1"/>
  <c r="B19" i="99"/>
  <c r="T18" i="99"/>
  <c r="P18" i="99"/>
  <c r="H18" i="99"/>
  <c r="D18" i="99"/>
  <c r="L18" i="99" s="1"/>
  <c r="Z16" i="99"/>
  <c r="Z14" i="99"/>
  <c r="T14" i="99"/>
  <c r="T16" i="99" s="1"/>
  <c r="T56" i="99" s="1"/>
  <c r="P14" i="99"/>
  <c r="H14" i="99"/>
  <c r="N14" i="99" s="1"/>
  <c r="D14" i="99"/>
  <c r="Z12" i="99"/>
  <c r="T12" i="99"/>
  <c r="V63" i="99" s="1"/>
  <c r="P12" i="99"/>
  <c r="R44" i="99" s="1"/>
  <c r="H12" i="99"/>
  <c r="J53" i="99" s="1"/>
  <c r="D12" i="99"/>
  <c r="F52" i="99" s="1"/>
  <c r="D6" i="99"/>
  <c r="D4" i="99"/>
  <c r="V32" i="98"/>
  <c r="V29" i="98"/>
  <c r="Z27" i="98"/>
  <c r="X27" i="98"/>
  <c r="V27" i="98"/>
  <c r="N27" i="98"/>
  <c r="L27" i="98"/>
  <c r="T23" i="98"/>
  <c r="Z23" i="98" s="1"/>
  <c r="P23" i="98"/>
  <c r="X23" i="98" s="1"/>
  <c r="N23" i="98"/>
  <c r="H23" i="98"/>
  <c r="D23" i="98"/>
  <c r="L23" i="98" s="1"/>
  <c r="Z21" i="98"/>
  <c r="X21" i="98"/>
  <c r="R21" i="98"/>
  <c r="N21" i="98"/>
  <c r="L21" i="98"/>
  <c r="J21" i="98"/>
  <c r="B21" i="98"/>
  <c r="Z20" i="98"/>
  <c r="T20" i="98"/>
  <c r="P20" i="98"/>
  <c r="X20" i="98" s="1"/>
  <c r="J20" i="98"/>
  <c r="H20" i="98"/>
  <c r="D20" i="98"/>
  <c r="B20" i="98"/>
  <c r="T19" i="98"/>
  <c r="Z19" i="98" s="1"/>
  <c r="P19" i="98"/>
  <c r="X19" i="98" s="1"/>
  <c r="N19" i="98"/>
  <c r="L19" i="98"/>
  <c r="J19" i="98"/>
  <c r="H19" i="98"/>
  <c r="D19" i="98"/>
  <c r="J17" i="98"/>
  <c r="Z15" i="98"/>
  <c r="T15" i="98"/>
  <c r="P15" i="98"/>
  <c r="X15" i="98" s="1"/>
  <c r="N15" i="98"/>
  <c r="L15" i="98"/>
  <c r="J15" i="98"/>
  <c r="H15" i="98"/>
  <c r="D15" i="98"/>
  <c r="Z13" i="98"/>
  <c r="X13" i="98"/>
  <c r="P13" i="98"/>
  <c r="N13" i="98"/>
  <c r="D13" i="98"/>
  <c r="D12" i="98" s="1"/>
  <c r="B13" i="98"/>
  <c r="Z12" i="98"/>
  <c r="X12" i="98"/>
  <c r="T12" i="98"/>
  <c r="V20" i="98" s="1"/>
  <c r="P12" i="98"/>
  <c r="N12" i="98"/>
  <c r="H12" i="98"/>
  <c r="J25" i="98" s="1"/>
  <c r="D6" i="98"/>
  <c r="D4" i="98"/>
  <c r="V91" i="97"/>
  <c r="V88" i="97"/>
  <c r="T88" i="97"/>
  <c r="Z86" i="97"/>
  <c r="X86" i="97"/>
  <c r="V86" i="97"/>
  <c r="N86" i="97"/>
  <c r="L86" i="97"/>
  <c r="Z82" i="97"/>
  <c r="P82" i="97"/>
  <c r="X82" i="97" s="1"/>
  <c r="N82" i="97"/>
  <c r="L82" i="97"/>
  <c r="D82" i="97"/>
  <c r="B82" i="97"/>
  <c r="T81" i="97"/>
  <c r="Z81" i="97" s="1"/>
  <c r="P81" i="97"/>
  <c r="X81" i="97" s="1"/>
  <c r="N81" i="97"/>
  <c r="L81" i="97"/>
  <c r="H81" i="97"/>
  <c r="D81" i="97"/>
  <c r="Z79" i="97"/>
  <c r="X79" i="97"/>
  <c r="N79" i="97"/>
  <c r="L79" i="97"/>
  <c r="B79" i="97"/>
  <c r="T78" i="97"/>
  <c r="Z78" i="97" s="1"/>
  <c r="P78" i="97"/>
  <c r="X78" i="97" s="1"/>
  <c r="H78" i="97"/>
  <c r="N78" i="97" s="1"/>
  <c r="D78" i="97"/>
  <c r="L78" i="97" s="1"/>
  <c r="B78" i="97"/>
  <c r="Z77" i="97"/>
  <c r="X77" i="97"/>
  <c r="N77" i="97"/>
  <c r="L77" i="97"/>
  <c r="B77" i="97"/>
  <c r="Z76" i="97"/>
  <c r="X76" i="97"/>
  <c r="N76" i="97"/>
  <c r="L76" i="97"/>
  <c r="B76" i="97"/>
  <c r="T75" i="97"/>
  <c r="Z75" i="97" s="1"/>
  <c r="P75" i="97"/>
  <c r="X75" i="97" s="1"/>
  <c r="H75" i="97"/>
  <c r="N75" i="97" s="1"/>
  <c r="D75" i="97"/>
  <c r="L75" i="97" s="1"/>
  <c r="B75" i="97"/>
  <c r="Z74" i="97"/>
  <c r="X74" i="97"/>
  <c r="V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B72" i="97"/>
  <c r="Z71" i="97"/>
  <c r="X71" i="97"/>
  <c r="N71" i="97"/>
  <c r="L71" i="97"/>
  <c r="B71" i="97"/>
  <c r="Z70" i="97"/>
  <c r="X70" i="97"/>
  <c r="V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B68" i="97"/>
  <c r="Z67" i="97"/>
  <c r="X67" i="97"/>
  <c r="N67" i="97"/>
  <c r="L67" i="97"/>
  <c r="B67" i="97"/>
  <c r="Z66" i="97"/>
  <c r="X66" i="97"/>
  <c r="V66" i="97"/>
  <c r="N66" i="97"/>
  <c r="L66" i="97"/>
  <c r="B66" i="97"/>
  <c r="Z65" i="97"/>
  <c r="X65" i="97"/>
  <c r="N65" i="97"/>
  <c r="L65" i="97"/>
  <c r="J65" i="97"/>
  <c r="B65" i="97"/>
  <c r="T64" i="97"/>
  <c r="Z64" i="97" s="1"/>
  <c r="P64" i="97"/>
  <c r="X64" i="97" s="1"/>
  <c r="H64" i="97"/>
  <c r="N64" i="97" s="1"/>
  <c r="D64" i="97"/>
  <c r="B64" i="97"/>
  <c r="Z63" i="97"/>
  <c r="X63" i="97"/>
  <c r="N63" i="97"/>
  <c r="L63" i="97"/>
  <c r="B63" i="97"/>
  <c r="X62" i="97"/>
  <c r="T62" i="97"/>
  <c r="Z62" i="97" s="1"/>
  <c r="P62" i="97"/>
  <c r="H62" i="97"/>
  <c r="N62" i="97" s="1"/>
  <c r="D62" i="97"/>
  <c r="L62" i="97" s="1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H59" i="97"/>
  <c r="N59" i="97" s="1"/>
  <c r="D59" i="97"/>
  <c r="B59" i="97"/>
  <c r="Z58" i="97"/>
  <c r="X58" i="97"/>
  <c r="V58" i="97"/>
  <c r="N58" i="97"/>
  <c r="L58" i="97"/>
  <c r="B58" i="97"/>
  <c r="Z57" i="97"/>
  <c r="X57" i="97"/>
  <c r="N57" i="97"/>
  <c r="L57" i="97"/>
  <c r="J57" i="97"/>
  <c r="B57" i="97"/>
  <c r="Z56" i="97"/>
  <c r="X56" i="97"/>
  <c r="N56" i="97"/>
  <c r="L56" i="97"/>
  <c r="B56" i="97"/>
  <c r="Z55" i="97"/>
  <c r="T55" i="97"/>
  <c r="P55" i="97"/>
  <c r="X55" i="97" s="1"/>
  <c r="N55" i="97"/>
  <c r="H55" i="97"/>
  <c r="D55" i="97"/>
  <c r="L55" i="97" s="1"/>
  <c r="B55" i="97"/>
  <c r="Z54" i="97"/>
  <c r="X54" i="97"/>
  <c r="N54" i="97"/>
  <c r="L54" i="97"/>
  <c r="B54" i="97"/>
  <c r="X53" i="97"/>
  <c r="V53" i="97"/>
  <c r="T53" i="97"/>
  <c r="Z53" i="97" s="1"/>
  <c r="P53" i="97"/>
  <c r="L53" i="97"/>
  <c r="H53" i="97"/>
  <c r="N53" i="97" s="1"/>
  <c r="D53" i="97"/>
  <c r="B53" i="97"/>
  <c r="Z52" i="97"/>
  <c r="X52" i="97"/>
  <c r="N52" i="97"/>
  <c r="L52" i="97"/>
  <c r="B52" i="97"/>
  <c r="T51" i="97"/>
  <c r="Z51" i="97" s="1"/>
  <c r="P51" i="97"/>
  <c r="H51" i="97"/>
  <c r="N51" i="97" s="1"/>
  <c r="D51" i="97"/>
  <c r="L51" i="97" s="1"/>
  <c r="B51" i="97"/>
  <c r="Z50" i="97"/>
  <c r="X50" i="97"/>
  <c r="V50" i="97"/>
  <c r="N50" i="97"/>
  <c r="L50" i="97"/>
  <c r="B50" i="97"/>
  <c r="Z49" i="97"/>
  <c r="T49" i="97"/>
  <c r="P49" i="97"/>
  <c r="X49" i="97" s="1"/>
  <c r="N49" i="97"/>
  <c r="H49" i="97"/>
  <c r="D49" i="97"/>
  <c r="L49" i="97" s="1"/>
  <c r="B49" i="97"/>
  <c r="X48" i="97"/>
  <c r="Z48" i="97" s="1"/>
  <c r="L48" i="97"/>
  <c r="N48" i="97" s="1"/>
  <c r="B48" i="97"/>
  <c r="Z47" i="97"/>
  <c r="X47" i="97"/>
  <c r="N47" i="97"/>
  <c r="L47" i="97"/>
  <c r="B47" i="97"/>
  <c r="T46" i="97"/>
  <c r="P46" i="97"/>
  <c r="X46" i="97" s="1"/>
  <c r="Z46" i="97" s="1"/>
  <c r="H46" i="97"/>
  <c r="D46" i="97"/>
  <c r="L46" i="97" s="1"/>
  <c r="N46" i="97" s="1"/>
  <c r="B46" i="97"/>
  <c r="Z45" i="97"/>
  <c r="X45" i="97"/>
  <c r="N45" i="97"/>
  <c r="L45" i="97"/>
  <c r="B45" i="97"/>
  <c r="Z44" i="97"/>
  <c r="X44" i="97"/>
  <c r="T44" i="97"/>
  <c r="P44" i="97"/>
  <c r="N44" i="97"/>
  <c r="L44" i="97"/>
  <c r="H44" i="97"/>
  <c r="D44" i="97"/>
  <c r="B44" i="97"/>
  <c r="Z43" i="97"/>
  <c r="X43" i="97"/>
  <c r="N43" i="97"/>
  <c r="L43" i="97"/>
  <c r="B43" i="97"/>
  <c r="V42" i="97"/>
  <c r="T42" i="97"/>
  <c r="Z42" i="97" s="1"/>
  <c r="P42" i="97"/>
  <c r="H42" i="97"/>
  <c r="N42" i="97" s="1"/>
  <c r="D42" i="97"/>
  <c r="L42" i="97" s="1"/>
  <c r="B42" i="97"/>
  <c r="Z41" i="97"/>
  <c r="X41" i="97"/>
  <c r="V41" i="97"/>
  <c r="N41" i="97"/>
  <c r="L41" i="97"/>
  <c r="B41" i="97"/>
  <c r="Z40" i="97"/>
  <c r="X40" i="97"/>
  <c r="N40" i="97"/>
  <c r="L40" i="97"/>
  <c r="B40" i="97"/>
  <c r="Z39" i="97"/>
  <c r="X39" i="97"/>
  <c r="N39" i="97"/>
  <c r="L39" i="97"/>
  <c r="B39" i="97"/>
  <c r="Z38" i="97"/>
  <c r="X38" i="97"/>
  <c r="N38" i="97"/>
  <c r="L38" i="97"/>
  <c r="B38" i="97"/>
  <c r="Z37" i="97"/>
  <c r="X37" i="97"/>
  <c r="V37" i="97"/>
  <c r="N37" i="97"/>
  <c r="L37" i="97"/>
  <c r="B37" i="97"/>
  <c r="Z36" i="97"/>
  <c r="X36" i="97"/>
  <c r="N36" i="97"/>
  <c r="L36" i="97"/>
  <c r="B36" i="97"/>
  <c r="Z35" i="97"/>
  <c r="X35" i="97"/>
  <c r="N35" i="97"/>
  <c r="L35" i="97"/>
  <c r="B35" i="97"/>
  <c r="Z34" i="97"/>
  <c r="X34" i="97"/>
  <c r="N34" i="97"/>
  <c r="L34" i="97"/>
  <c r="B34" i="97"/>
  <c r="Z33" i="97"/>
  <c r="X33" i="97"/>
  <c r="V33" i="97"/>
  <c r="N33" i="97"/>
  <c r="L33" i="97"/>
  <c r="B33" i="97"/>
  <c r="Z32" i="97"/>
  <c r="X32" i="97"/>
  <c r="N32" i="97"/>
  <c r="L32" i="97"/>
  <c r="B32" i="97"/>
  <c r="V31" i="97"/>
  <c r="T31" i="97"/>
  <c r="Z31" i="97" s="1"/>
  <c r="P31" i="97"/>
  <c r="X31" i="97" s="1"/>
  <c r="L31" i="97"/>
  <c r="H31" i="97"/>
  <c r="N31" i="97" s="1"/>
  <c r="D31" i="97"/>
  <c r="B31" i="97"/>
  <c r="Z30" i="97"/>
  <c r="X30" i="97"/>
  <c r="N30" i="97"/>
  <c r="L30" i="97"/>
  <c r="B30" i="97"/>
  <c r="Z29" i="97"/>
  <c r="X29" i="97"/>
  <c r="N29" i="97"/>
  <c r="L29" i="97"/>
  <c r="B29" i="97"/>
  <c r="Z28" i="97"/>
  <c r="X28" i="97"/>
  <c r="N28" i="97"/>
  <c r="L28" i="97"/>
  <c r="B28" i="97"/>
  <c r="Z27" i="97"/>
  <c r="X27" i="97"/>
  <c r="N27" i="97"/>
  <c r="L27" i="97"/>
  <c r="B27" i="97"/>
  <c r="Z26" i="97"/>
  <c r="X26" i="97"/>
  <c r="N26" i="97"/>
  <c r="L26" i="97"/>
  <c r="B26" i="97"/>
  <c r="Z25" i="97"/>
  <c r="X25" i="97"/>
  <c r="N25" i="97"/>
  <c r="L25" i="97"/>
  <c r="B25" i="97"/>
  <c r="Z24" i="97"/>
  <c r="X24" i="97"/>
  <c r="N24" i="97"/>
  <c r="L24" i="97"/>
  <c r="B24" i="97"/>
  <c r="Z23" i="97"/>
  <c r="X23" i="97"/>
  <c r="N23" i="97"/>
  <c r="L23" i="97"/>
  <c r="B23" i="97"/>
  <c r="X22" i="97"/>
  <c r="T22" i="97"/>
  <c r="Z22" i="97" s="1"/>
  <c r="P22" i="97"/>
  <c r="N22" i="97"/>
  <c r="L22" i="97"/>
  <c r="H22" i="97"/>
  <c r="D22" i="97"/>
  <c r="B22" i="97"/>
  <c r="Z21" i="97"/>
  <c r="T21" i="97"/>
  <c r="P21" i="97"/>
  <c r="X21" i="97" s="1"/>
  <c r="H21" i="97"/>
  <c r="D21" i="97"/>
  <c r="L21" i="97" s="1"/>
  <c r="N21" i="97" s="1"/>
  <c r="Z19" i="97"/>
  <c r="V19" i="97"/>
  <c r="Z17" i="97"/>
  <c r="X17" i="97"/>
  <c r="V17" i="97"/>
  <c r="N17" i="97"/>
  <c r="L17" i="97"/>
  <c r="J17" i="97"/>
  <c r="B17" i="97"/>
  <c r="V16" i="97"/>
  <c r="T16" i="97"/>
  <c r="T19" i="97" s="1"/>
  <c r="T84" i="97" s="1"/>
  <c r="P16" i="97"/>
  <c r="H16" i="97"/>
  <c r="N16" i="97" s="1"/>
  <c r="D16" i="97"/>
  <c r="Z14" i="97"/>
  <c r="P14" i="97"/>
  <c r="X14" i="97" s="1"/>
  <c r="N14" i="97"/>
  <c r="D14" i="97"/>
  <c r="L14" i="97" s="1"/>
  <c r="B14" i="97"/>
  <c r="Z13" i="97"/>
  <c r="X13" i="97"/>
  <c r="P13" i="97"/>
  <c r="N13" i="97"/>
  <c r="D13" i="97"/>
  <c r="L13" i="97" s="1"/>
  <c r="B13" i="97"/>
  <c r="Z12" i="97"/>
  <c r="T12" i="97"/>
  <c r="V71" i="97" s="1"/>
  <c r="N12" i="97"/>
  <c r="H12" i="97"/>
  <c r="D6" i="97"/>
  <c r="D4" i="97"/>
  <c r="X98" i="95"/>
  <c r="Z98" i="95" s="1"/>
  <c r="N98" i="95"/>
  <c r="L98" i="95"/>
  <c r="J98" i="95"/>
  <c r="Z94" i="95"/>
  <c r="T94" i="95"/>
  <c r="P94" i="95"/>
  <c r="X94" i="95" s="1"/>
  <c r="N94" i="95"/>
  <c r="H94" i="95"/>
  <c r="D94" i="95"/>
  <c r="Z92" i="95"/>
  <c r="X92" i="95"/>
  <c r="L92" i="95"/>
  <c r="N92" i="95" s="1"/>
  <c r="B92" i="95"/>
  <c r="X91" i="95"/>
  <c r="T91" i="95"/>
  <c r="P91" i="95"/>
  <c r="H91" i="95"/>
  <c r="D91" i="95"/>
  <c r="L91" i="95" s="1"/>
  <c r="N91" i="95" s="1"/>
  <c r="B91" i="95"/>
  <c r="Z90" i="95"/>
  <c r="X90" i="95"/>
  <c r="N90" i="95"/>
  <c r="L90" i="95"/>
  <c r="B90" i="95"/>
  <c r="Z89" i="95"/>
  <c r="X89" i="95"/>
  <c r="N89" i="95"/>
  <c r="L89" i="95"/>
  <c r="B89" i="95"/>
  <c r="X88" i="95"/>
  <c r="T88" i="95"/>
  <c r="Z88" i="95" s="1"/>
  <c r="P88" i="95"/>
  <c r="N88" i="95"/>
  <c r="L88" i="95"/>
  <c r="H88" i="95"/>
  <c r="D88" i="95"/>
  <c r="B88" i="95"/>
  <c r="Z87" i="95"/>
  <c r="X87" i="95"/>
  <c r="N87" i="95"/>
  <c r="L87" i="95"/>
  <c r="J87" i="95"/>
  <c r="B87" i="95"/>
  <c r="T86" i="95"/>
  <c r="Z86" i="95" s="1"/>
  <c r="P86" i="95"/>
  <c r="H86" i="95"/>
  <c r="D86" i="95"/>
  <c r="B86" i="95"/>
  <c r="Z85" i="95"/>
  <c r="X85" i="95"/>
  <c r="N85" i="95"/>
  <c r="L85" i="95"/>
  <c r="F85" i="95"/>
  <c r="B85" i="95"/>
  <c r="Z84" i="95"/>
  <c r="X84" i="95"/>
  <c r="L84" i="95"/>
  <c r="N84" i="95" s="1"/>
  <c r="B84" i="95"/>
  <c r="X83" i="95"/>
  <c r="T83" i="95"/>
  <c r="P83" i="95"/>
  <c r="H83" i="95"/>
  <c r="D83" i="95"/>
  <c r="L83" i="95" s="1"/>
  <c r="N83" i="95" s="1"/>
  <c r="B83" i="95"/>
  <c r="Z82" i="95"/>
  <c r="X82" i="95"/>
  <c r="N82" i="95"/>
  <c r="L82" i="95"/>
  <c r="B82" i="95"/>
  <c r="Z81" i="95"/>
  <c r="X81" i="95"/>
  <c r="N81" i="95"/>
  <c r="L81" i="95"/>
  <c r="B81" i="95"/>
  <c r="X80" i="95"/>
  <c r="Z80" i="95" s="1"/>
  <c r="N80" i="95"/>
  <c r="L80" i="95"/>
  <c r="J80" i="95"/>
  <c r="B80" i="95"/>
  <c r="X79" i="95"/>
  <c r="Z79" i="95" s="1"/>
  <c r="N79" i="95"/>
  <c r="L79" i="95"/>
  <c r="B79" i="95"/>
  <c r="X78" i="95"/>
  <c r="Z78" i="95" s="1"/>
  <c r="L78" i="95"/>
  <c r="N78" i="95" s="1"/>
  <c r="B78" i="95"/>
  <c r="Z77" i="95"/>
  <c r="X77" i="95"/>
  <c r="N77" i="95"/>
  <c r="L77" i="95"/>
  <c r="B77" i="95"/>
  <c r="X76" i="95"/>
  <c r="Z76" i="95" s="1"/>
  <c r="N76" i="95"/>
  <c r="L76" i="95"/>
  <c r="J76" i="95"/>
  <c r="F76" i="95"/>
  <c r="B76" i="95"/>
  <c r="T75" i="95"/>
  <c r="P75" i="95"/>
  <c r="X75" i="95" s="1"/>
  <c r="H75" i="95"/>
  <c r="D75" i="95"/>
  <c r="L75" i="95" s="1"/>
  <c r="B75" i="95"/>
  <c r="X74" i="95"/>
  <c r="Z74" i="95" s="1"/>
  <c r="N74" i="95"/>
  <c r="L74" i="95"/>
  <c r="B74" i="95"/>
  <c r="Z73" i="95"/>
  <c r="X73" i="95"/>
  <c r="T73" i="95"/>
  <c r="P73" i="95"/>
  <c r="H73" i="95"/>
  <c r="D73" i="95"/>
  <c r="L73" i="95" s="1"/>
  <c r="N73" i="95" s="1"/>
  <c r="B73" i="95"/>
  <c r="Z72" i="95"/>
  <c r="X72" i="95"/>
  <c r="N72" i="95"/>
  <c r="L72" i="95"/>
  <c r="B72" i="95"/>
  <c r="X71" i="95"/>
  <c r="Z71" i="95" s="1"/>
  <c r="V71" i="95"/>
  <c r="L71" i="95"/>
  <c r="N71" i="95" s="1"/>
  <c r="B71" i="95"/>
  <c r="Z70" i="95"/>
  <c r="X70" i="95"/>
  <c r="N70" i="95"/>
  <c r="L70" i="95"/>
  <c r="J70" i="95"/>
  <c r="B70" i="95"/>
  <c r="Z69" i="95"/>
  <c r="X69" i="95"/>
  <c r="N69" i="95"/>
  <c r="L69" i="95"/>
  <c r="B69" i="95"/>
  <c r="Z68" i="95"/>
  <c r="X68" i="95"/>
  <c r="L68" i="95"/>
  <c r="N68" i="95" s="1"/>
  <c r="B68" i="95"/>
  <c r="X67" i="95"/>
  <c r="V67" i="95"/>
  <c r="T67" i="95"/>
  <c r="P67" i="95"/>
  <c r="H67" i="95"/>
  <c r="D67" i="95"/>
  <c r="L67" i="95" s="1"/>
  <c r="N67" i="95" s="1"/>
  <c r="B67" i="95"/>
  <c r="Z66" i="95"/>
  <c r="X66" i="95"/>
  <c r="L66" i="95"/>
  <c r="N66" i="95" s="1"/>
  <c r="B66" i="95"/>
  <c r="X65" i="95"/>
  <c r="Z65" i="95" s="1"/>
  <c r="N65" i="95"/>
  <c r="L65" i="95"/>
  <c r="B65" i="95"/>
  <c r="X64" i="95"/>
  <c r="T64" i="95"/>
  <c r="Z64" i="95" s="1"/>
  <c r="P64" i="95"/>
  <c r="N64" i="95"/>
  <c r="L64" i="95"/>
  <c r="J64" i="95"/>
  <c r="H64" i="95"/>
  <c r="D64" i="95"/>
  <c r="B64" i="95"/>
  <c r="Z63" i="95"/>
  <c r="X63" i="95"/>
  <c r="L63" i="95"/>
  <c r="N63" i="95" s="1"/>
  <c r="J63" i="95"/>
  <c r="B63" i="95"/>
  <c r="T62" i="95"/>
  <c r="P62" i="95"/>
  <c r="H62" i="95"/>
  <c r="D62" i="95"/>
  <c r="B62" i="95"/>
  <c r="Z61" i="95"/>
  <c r="X61" i="95"/>
  <c r="L61" i="95"/>
  <c r="N61" i="95" s="1"/>
  <c r="F61" i="95"/>
  <c r="B61" i="95"/>
  <c r="T60" i="95"/>
  <c r="P60" i="95"/>
  <c r="X60" i="95" s="1"/>
  <c r="Z60" i="95" s="1"/>
  <c r="H60" i="95"/>
  <c r="D60" i="95"/>
  <c r="L60" i="95" s="1"/>
  <c r="N60" i="95" s="1"/>
  <c r="B60" i="95"/>
  <c r="X59" i="95"/>
  <c r="Z59" i="95" s="1"/>
  <c r="N59" i="95"/>
  <c r="L59" i="95"/>
  <c r="B59" i="95"/>
  <c r="X58" i="95"/>
  <c r="Z58" i="95" s="1"/>
  <c r="T58" i="95"/>
  <c r="P58" i="95"/>
  <c r="L58" i="95"/>
  <c r="H58" i="95"/>
  <c r="N58" i="95" s="1"/>
  <c r="D58" i="95"/>
  <c r="B58" i="95"/>
  <c r="Z57" i="95"/>
  <c r="X57" i="95"/>
  <c r="N57" i="95"/>
  <c r="L57" i="95"/>
  <c r="B57" i="95"/>
  <c r="T56" i="95"/>
  <c r="P56" i="95"/>
  <c r="H56" i="95"/>
  <c r="D56" i="95"/>
  <c r="B56" i="95"/>
  <c r="X55" i="95"/>
  <c r="Z55" i="95" s="1"/>
  <c r="L55" i="95"/>
  <c r="N55" i="95" s="1"/>
  <c r="B55" i="95"/>
  <c r="Z54" i="95"/>
  <c r="X54" i="95"/>
  <c r="N54" i="95"/>
  <c r="L54" i="95"/>
  <c r="J54" i="95"/>
  <c r="B54" i="95"/>
  <c r="T53" i="95"/>
  <c r="P53" i="95"/>
  <c r="X53" i="95" s="1"/>
  <c r="Z53" i="95" s="1"/>
  <c r="L53" i="95"/>
  <c r="J53" i="95"/>
  <c r="H53" i="95"/>
  <c r="D53" i="95"/>
  <c r="B53" i="95"/>
  <c r="X52" i="95"/>
  <c r="Z52" i="95" s="1"/>
  <c r="N52" i="95"/>
  <c r="L52" i="95"/>
  <c r="J52" i="95"/>
  <c r="B52" i="95"/>
  <c r="X51" i="95"/>
  <c r="T51" i="95"/>
  <c r="Z51" i="95" s="1"/>
  <c r="P51" i="95"/>
  <c r="H51" i="95"/>
  <c r="F51" i="95"/>
  <c r="D51" i="95"/>
  <c r="B51" i="95"/>
  <c r="X50" i="95"/>
  <c r="Z50" i="95" s="1"/>
  <c r="L50" i="95"/>
  <c r="N50" i="95" s="1"/>
  <c r="B50" i="95"/>
  <c r="Z49" i="95"/>
  <c r="X49" i="95"/>
  <c r="T49" i="95"/>
  <c r="P49" i="95"/>
  <c r="H49" i="95"/>
  <c r="D49" i="95"/>
  <c r="L49" i="95" s="1"/>
  <c r="N49" i="95" s="1"/>
  <c r="B49" i="95"/>
  <c r="Z48" i="95"/>
  <c r="X48" i="95"/>
  <c r="L48" i="95"/>
  <c r="N48" i="95" s="1"/>
  <c r="B48" i="95"/>
  <c r="X47" i="95"/>
  <c r="T47" i="95"/>
  <c r="P47" i="95"/>
  <c r="H47" i="95"/>
  <c r="D47" i="95"/>
  <c r="L47" i="95" s="1"/>
  <c r="N47" i="95" s="1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N44" i="95"/>
  <c r="L44" i="95"/>
  <c r="J44" i="95"/>
  <c r="F44" i="95"/>
  <c r="B44" i="95"/>
  <c r="X43" i="95"/>
  <c r="Z43" i="95" s="1"/>
  <c r="N43" i="95"/>
  <c r="L43" i="95"/>
  <c r="B43" i="95"/>
  <c r="Z42" i="95"/>
  <c r="X42" i="95"/>
  <c r="N42" i="95"/>
  <c r="L42" i="95"/>
  <c r="B42" i="95"/>
  <c r="X41" i="95"/>
  <c r="Z41" i="95" s="1"/>
  <c r="R41" i="95"/>
  <c r="N41" i="95"/>
  <c r="L41" i="95"/>
  <c r="B41" i="95"/>
  <c r="X40" i="95"/>
  <c r="Z40" i="95" s="1"/>
  <c r="N40" i="95"/>
  <c r="L40" i="95"/>
  <c r="J40" i="95"/>
  <c r="F40" i="95"/>
  <c r="B40" i="95"/>
  <c r="Z39" i="95"/>
  <c r="X39" i="95"/>
  <c r="N39" i="95"/>
  <c r="L39" i="95"/>
  <c r="B39" i="95"/>
  <c r="X38" i="95"/>
  <c r="Z38" i="95" s="1"/>
  <c r="V38" i="95"/>
  <c r="L38" i="95"/>
  <c r="N38" i="95" s="1"/>
  <c r="B38" i="95"/>
  <c r="Z37" i="95"/>
  <c r="X37" i="95"/>
  <c r="R37" i="95"/>
  <c r="N37" i="95"/>
  <c r="L37" i="95"/>
  <c r="B37" i="95"/>
  <c r="X36" i="95"/>
  <c r="T36" i="95"/>
  <c r="Z36" i="95" s="1"/>
  <c r="P36" i="95"/>
  <c r="N36" i="95"/>
  <c r="L36" i="95"/>
  <c r="J36" i="95"/>
  <c r="H36" i="95"/>
  <c r="D36" i="95"/>
  <c r="B36" i="95"/>
  <c r="Z35" i="95"/>
  <c r="X35" i="95"/>
  <c r="N35" i="95"/>
  <c r="L35" i="95"/>
  <c r="J35" i="95"/>
  <c r="F35" i="95"/>
  <c r="B35" i="95"/>
  <c r="X34" i="95"/>
  <c r="Z34" i="95" s="1"/>
  <c r="N34" i="95"/>
  <c r="L34" i="95"/>
  <c r="B34" i="95"/>
  <c r="X33" i="95"/>
  <c r="Z33" i="95" s="1"/>
  <c r="N33" i="95"/>
  <c r="L33" i="95"/>
  <c r="J33" i="95"/>
  <c r="B33" i="95"/>
  <c r="Z32" i="95"/>
  <c r="X32" i="95"/>
  <c r="N32" i="95"/>
  <c r="L32" i="95"/>
  <c r="B32" i="95"/>
  <c r="Z31" i="95"/>
  <c r="X31" i="95"/>
  <c r="L31" i="95"/>
  <c r="N31" i="95" s="1"/>
  <c r="J31" i="95"/>
  <c r="B31" i="95"/>
  <c r="X30" i="95"/>
  <c r="Z30" i="95" s="1"/>
  <c r="N30" i="95"/>
  <c r="L30" i="95"/>
  <c r="B30" i="95"/>
  <c r="X29" i="95"/>
  <c r="Z29" i="95" s="1"/>
  <c r="N29" i="95"/>
  <c r="L29" i="95"/>
  <c r="J29" i="95"/>
  <c r="B29" i="95"/>
  <c r="Z28" i="95"/>
  <c r="X28" i="95"/>
  <c r="V28" i="95"/>
  <c r="N28" i="95"/>
  <c r="L28" i="95"/>
  <c r="B28" i="95"/>
  <c r="Z27" i="95"/>
  <c r="X27" i="95"/>
  <c r="L27" i="95"/>
  <c r="N27" i="95" s="1"/>
  <c r="J27" i="95"/>
  <c r="B27" i="95"/>
  <c r="X26" i="95"/>
  <c r="T26" i="95"/>
  <c r="Z26" i="95" s="1"/>
  <c r="P26" i="95"/>
  <c r="H26" i="95"/>
  <c r="D26" i="95"/>
  <c r="B26" i="95"/>
  <c r="T25" i="95"/>
  <c r="P25" i="95"/>
  <c r="X25" i="95" s="1"/>
  <c r="H25" i="95"/>
  <c r="D25" i="95"/>
  <c r="H23" i="95"/>
  <c r="Z21" i="95"/>
  <c r="X21" i="95"/>
  <c r="N21" i="95"/>
  <c r="L21" i="95"/>
  <c r="B21" i="95"/>
  <c r="Z20" i="95"/>
  <c r="X20" i="95"/>
  <c r="N20" i="95"/>
  <c r="L20" i="95"/>
  <c r="J20" i="95"/>
  <c r="B20" i="95"/>
  <c r="X19" i="95"/>
  <c r="Z19" i="95" s="1"/>
  <c r="V19" i="95"/>
  <c r="R19" i="95"/>
  <c r="L19" i="95"/>
  <c r="N19" i="95" s="1"/>
  <c r="J19" i="95"/>
  <c r="B19" i="95"/>
  <c r="T18" i="95"/>
  <c r="P18" i="95"/>
  <c r="H18" i="95"/>
  <c r="J18" i="95" s="1"/>
  <c r="D18" i="95"/>
  <c r="L18" i="95" s="1"/>
  <c r="N18" i="95" s="1"/>
  <c r="Z16" i="95"/>
  <c r="X16" i="95"/>
  <c r="P16" i="95"/>
  <c r="N16" i="95"/>
  <c r="L16" i="95"/>
  <c r="D16" i="95"/>
  <c r="D12" i="95" s="1"/>
  <c r="F98" i="95" s="1"/>
  <c r="B16" i="95"/>
  <c r="P15" i="95"/>
  <c r="X15" i="95" s="1"/>
  <c r="Z15" i="95" s="1"/>
  <c r="L15" i="95"/>
  <c r="N15" i="95" s="1"/>
  <c r="D15" i="95"/>
  <c r="B15" i="95"/>
  <c r="Z14" i="95"/>
  <c r="P14" i="95"/>
  <c r="X14" i="95" s="1"/>
  <c r="N14" i="95"/>
  <c r="L14" i="95"/>
  <c r="D14" i="95"/>
  <c r="B14" i="95"/>
  <c r="P13" i="95"/>
  <c r="P12" i="95" s="1"/>
  <c r="R77" i="95" s="1"/>
  <c r="N13" i="95"/>
  <c r="L13" i="95"/>
  <c r="D13" i="95"/>
  <c r="B13" i="95"/>
  <c r="X12" i="95"/>
  <c r="T12" i="95"/>
  <c r="H12" i="95"/>
  <c r="J89" i="95" s="1"/>
  <c r="D6" i="95"/>
  <c r="D4" i="95"/>
  <c r="Z80" i="94"/>
  <c r="X80" i="94"/>
  <c r="V80" i="94"/>
  <c r="R80" i="94"/>
  <c r="N80" i="94"/>
  <c r="L80" i="94"/>
  <c r="X76" i="94"/>
  <c r="T76" i="94"/>
  <c r="Z76" i="94" s="1"/>
  <c r="P76" i="94"/>
  <c r="N76" i="94"/>
  <c r="L76" i="94"/>
  <c r="H76" i="94"/>
  <c r="D76" i="94"/>
  <c r="Z74" i="94"/>
  <c r="X74" i="94"/>
  <c r="N74" i="94"/>
  <c r="L74" i="94"/>
  <c r="J74" i="94"/>
  <c r="B74" i="94"/>
  <c r="T73" i="94"/>
  <c r="Z73" i="94" s="1"/>
  <c r="P73" i="94"/>
  <c r="X73" i="94" s="1"/>
  <c r="H73" i="94"/>
  <c r="N73" i="94" s="1"/>
  <c r="D73" i="94"/>
  <c r="B73" i="94"/>
  <c r="Z72" i="94"/>
  <c r="X72" i="94"/>
  <c r="N72" i="94"/>
  <c r="L72" i="94"/>
  <c r="B72" i="94"/>
  <c r="Z71" i="94"/>
  <c r="X71" i="94"/>
  <c r="T71" i="94"/>
  <c r="P71" i="94"/>
  <c r="N71" i="94"/>
  <c r="J71" i="94"/>
  <c r="H71" i="94"/>
  <c r="D71" i="94"/>
  <c r="L71" i="94" s="1"/>
  <c r="B71" i="94"/>
  <c r="Z70" i="94"/>
  <c r="X70" i="94"/>
  <c r="N70" i="94"/>
  <c r="L70" i="94"/>
  <c r="B70" i="94"/>
  <c r="V69" i="94"/>
  <c r="T69" i="94"/>
  <c r="P69" i="94"/>
  <c r="H69" i="94"/>
  <c r="N69" i="94" s="1"/>
  <c r="F69" i="94"/>
  <c r="D69" i="94"/>
  <c r="B69" i="94"/>
  <c r="Z68" i="94"/>
  <c r="X68" i="94"/>
  <c r="V68" i="94"/>
  <c r="N68" i="94"/>
  <c r="L68" i="94"/>
  <c r="B68" i="94"/>
  <c r="Z67" i="94"/>
  <c r="X67" i="94"/>
  <c r="R67" i="94"/>
  <c r="N67" i="94"/>
  <c r="L67" i="94"/>
  <c r="B67" i="94"/>
  <c r="Z66" i="94"/>
  <c r="X66" i="94"/>
  <c r="V66" i="94"/>
  <c r="N66" i="94"/>
  <c r="L66" i="94"/>
  <c r="B66" i="94"/>
  <c r="T65" i="94"/>
  <c r="Z65" i="94" s="1"/>
  <c r="P65" i="94"/>
  <c r="X65" i="94" s="1"/>
  <c r="N65" i="94"/>
  <c r="H65" i="94"/>
  <c r="D65" i="94"/>
  <c r="B65" i="94"/>
  <c r="Z64" i="94"/>
  <c r="X64" i="94"/>
  <c r="N64" i="94"/>
  <c r="L64" i="94"/>
  <c r="B64" i="94"/>
  <c r="Z63" i="94"/>
  <c r="X63" i="94"/>
  <c r="T63" i="94"/>
  <c r="P63" i="94"/>
  <c r="N63" i="94"/>
  <c r="H63" i="94"/>
  <c r="D63" i="94"/>
  <c r="L63" i="94" s="1"/>
  <c r="B63" i="94"/>
  <c r="Z62" i="94"/>
  <c r="X62" i="94"/>
  <c r="N62" i="94"/>
  <c r="L62" i="94"/>
  <c r="B62" i="94"/>
  <c r="X61" i="94"/>
  <c r="V61" i="94"/>
  <c r="T61" i="94"/>
  <c r="Z61" i="94" s="1"/>
  <c r="P61" i="94"/>
  <c r="H61" i="94"/>
  <c r="N61" i="94" s="1"/>
  <c r="D61" i="94"/>
  <c r="L61" i="94" s="1"/>
  <c r="B61" i="94"/>
  <c r="Z60" i="94"/>
  <c r="X60" i="94"/>
  <c r="N60" i="94"/>
  <c r="L60" i="94"/>
  <c r="B60" i="94"/>
  <c r="T59" i="94"/>
  <c r="Z59" i="94" s="1"/>
  <c r="P59" i="94"/>
  <c r="H59" i="94"/>
  <c r="N59" i="94" s="1"/>
  <c r="D59" i="94"/>
  <c r="L59" i="94" s="1"/>
  <c r="B59" i="94"/>
  <c r="Z58" i="94"/>
  <c r="X58" i="94"/>
  <c r="R58" i="94"/>
  <c r="N58" i="94"/>
  <c r="L58" i="94"/>
  <c r="B58" i="94"/>
  <c r="Z57" i="94"/>
  <c r="X57" i="94"/>
  <c r="V57" i="94"/>
  <c r="N57" i="94"/>
  <c r="L57" i="94"/>
  <c r="F57" i="94"/>
  <c r="B57" i="94"/>
  <c r="X56" i="94"/>
  <c r="T56" i="94"/>
  <c r="Z56" i="94" s="1"/>
  <c r="P56" i="94"/>
  <c r="N56" i="94"/>
  <c r="J56" i="94"/>
  <c r="H56" i="94"/>
  <c r="D56" i="94"/>
  <c r="L56" i="94" s="1"/>
  <c r="B56" i="94"/>
  <c r="Z55" i="94"/>
  <c r="X55" i="94"/>
  <c r="V55" i="94"/>
  <c r="N55" i="94"/>
  <c r="L55" i="94"/>
  <c r="B55" i="94"/>
  <c r="T54" i="94"/>
  <c r="Z54" i="94" s="1"/>
  <c r="P54" i="94"/>
  <c r="N54" i="94"/>
  <c r="L54" i="94"/>
  <c r="J54" i="94"/>
  <c r="H54" i="94"/>
  <c r="D54" i="94"/>
  <c r="B54" i="94"/>
  <c r="Z53" i="94"/>
  <c r="X53" i="94"/>
  <c r="N53" i="94"/>
  <c r="L53" i="94"/>
  <c r="J53" i="94"/>
  <c r="B53" i="94"/>
  <c r="Z52" i="94"/>
  <c r="X52" i="94"/>
  <c r="T52" i="94"/>
  <c r="R52" i="94"/>
  <c r="P52" i="94"/>
  <c r="H52" i="94"/>
  <c r="N52" i="94" s="1"/>
  <c r="F52" i="94"/>
  <c r="D52" i="94"/>
  <c r="B52" i="94"/>
  <c r="Z51" i="94"/>
  <c r="X51" i="94"/>
  <c r="N51" i="94"/>
  <c r="L51" i="94"/>
  <c r="B51" i="94"/>
  <c r="V50" i="94"/>
  <c r="T50" i="94"/>
  <c r="Z50" i="94" s="1"/>
  <c r="R50" i="94"/>
  <c r="P50" i="94"/>
  <c r="N50" i="94"/>
  <c r="H50" i="94"/>
  <c r="D50" i="94"/>
  <c r="L50" i="94" s="1"/>
  <c r="B50" i="94"/>
  <c r="X49" i="94"/>
  <c r="Z49" i="94" s="1"/>
  <c r="L49" i="94"/>
  <c r="N49" i="94" s="1"/>
  <c r="J49" i="94"/>
  <c r="B49" i="94"/>
  <c r="Z48" i="94"/>
  <c r="T48" i="94"/>
  <c r="P48" i="94"/>
  <c r="X48" i="94" s="1"/>
  <c r="J48" i="94"/>
  <c r="H48" i="94"/>
  <c r="D48" i="94"/>
  <c r="L48" i="94" s="1"/>
  <c r="B48" i="94"/>
  <c r="Z47" i="94"/>
  <c r="X47" i="94"/>
  <c r="N47" i="94"/>
  <c r="L47" i="94"/>
  <c r="B47" i="94"/>
  <c r="X46" i="94"/>
  <c r="V46" i="94"/>
  <c r="T46" i="94"/>
  <c r="Z46" i="94" s="1"/>
  <c r="P46" i="94"/>
  <c r="L46" i="94"/>
  <c r="J46" i="94"/>
  <c r="H46" i="94"/>
  <c r="N46" i="94" s="1"/>
  <c r="D46" i="94"/>
  <c r="B46" i="94"/>
  <c r="Z45" i="94"/>
  <c r="X45" i="94"/>
  <c r="V45" i="94"/>
  <c r="N45" i="94"/>
  <c r="L45" i="94"/>
  <c r="F45" i="94"/>
  <c r="B45" i="94"/>
  <c r="T44" i="94"/>
  <c r="Z44" i="94" s="1"/>
  <c r="P44" i="94"/>
  <c r="X44" i="94" s="1"/>
  <c r="L44" i="94"/>
  <c r="H44" i="94"/>
  <c r="N44" i="94" s="1"/>
  <c r="D44" i="94"/>
  <c r="B44" i="94"/>
  <c r="Z43" i="94"/>
  <c r="X43" i="94"/>
  <c r="V43" i="94"/>
  <c r="R43" i="94"/>
  <c r="N43" i="94"/>
  <c r="L43" i="94"/>
  <c r="J43" i="94"/>
  <c r="B43" i="94"/>
  <c r="Z42" i="94"/>
  <c r="X42" i="94"/>
  <c r="N42" i="94"/>
  <c r="L42" i="94"/>
  <c r="J42" i="94"/>
  <c r="B42" i="94"/>
  <c r="Z41" i="94"/>
  <c r="X41" i="94"/>
  <c r="V41" i="94"/>
  <c r="N41" i="94"/>
  <c r="L41" i="94"/>
  <c r="B41" i="94"/>
  <c r="Z40" i="94"/>
  <c r="X40" i="94"/>
  <c r="R40" i="94"/>
  <c r="N40" i="94"/>
  <c r="L40" i="94"/>
  <c r="J40" i="94"/>
  <c r="B40" i="94"/>
  <c r="Z39" i="94"/>
  <c r="X39" i="94"/>
  <c r="V39" i="94"/>
  <c r="N39" i="94"/>
  <c r="L39" i="94"/>
  <c r="J39" i="94"/>
  <c r="B39" i="94"/>
  <c r="Z38" i="94"/>
  <c r="X38" i="94"/>
  <c r="N38" i="94"/>
  <c r="L38" i="94"/>
  <c r="J38" i="94"/>
  <c r="B38" i="94"/>
  <c r="Z37" i="94"/>
  <c r="X37" i="94"/>
  <c r="V37" i="94"/>
  <c r="R37" i="94"/>
  <c r="N37" i="94"/>
  <c r="L37" i="94"/>
  <c r="B37" i="94"/>
  <c r="Z36" i="94"/>
  <c r="X36" i="94"/>
  <c r="N36" i="94"/>
  <c r="L36" i="94"/>
  <c r="J36" i="94"/>
  <c r="B36" i="94"/>
  <c r="Z35" i="94"/>
  <c r="X35" i="94"/>
  <c r="V35" i="94"/>
  <c r="N35" i="94"/>
  <c r="L35" i="94"/>
  <c r="J35" i="94"/>
  <c r="B35" i="94"/>
  <c r="Z34" i="94"/>
  <c r="X34" i="94"/>
  <c r="N34" i="94"/>
  <c r="L34" i="94"/>
  <c r="J34" i="94"/>
  <c r="F34" i="94"/>
  <c r="B34" i="94"/>
  <c r="V33" i="94"/>
  <c r="T33" i="94"/>
  <c r="Z33" i="94" s="1"/>
  <c r="P33" i="94"/>
  <c r="J33" i="94"/>
  <c r="H33" i="94"/>
  <c r="N33" i="94" s="1"/>
  <c r="D33" i="94"/>
  <c r="L33" i="94" s="1"/>
  <c r="B33" i="94"/>
  <c r="Z32" i="94"/>
  <c r="X32" i="94"/>
  <c r="V32" i="94"/>
  <c r="N32" i="94"/>
  <c r="L32" i="94"/>
  <c r="F32" i="94"/>
  <c r="B32" i="94"/>
  <c r="Z31" i="94"/>
  <c r="X31" i="94"/>
  <c r="V31" i="94"/>
  <c r="N31" i="94"/>
  <c r="L31" i="94"/>
  <c r="B31" i="94"/>
  <c r="Z30" i="94"/>
  <c r="X30" i="94"/>
  <c r="V30" i="94"/>
  <c r="R30" i="94"/>
  <c r="N30" i="94"/>
  <c r="L30" i="94"/>
  <c r="B30" i="94"/>
  <c r="Z29" i="94"/>
  <c r="X29" i="94"/>
  <c r="V29" i="94"/>
  <c r="N29" i="94"/>
  <c r="L29" i="94"/>
  <c r="J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B27" i="94"/>
  <c r="Z26" i="94"/>
  <c r="X26" i="94"/>
  <c r="V26" i="94"/>
  <c r="N26" i="94"/>
  <c r="L26" i="94"/>
  <c r="B26" i="94"/>
  <c r="Z25" i="94"/>
  <c r="X25" i="94"/>
  <c r="V25" i="94"/>
  <c r="N25" i="94"/>
  <c r="L25" i="94"/>
  <c r="J25" i="94"/>
  <c r="B25" i="94"/>
  <c r="Z24" i="94"/>
  <c r="X24" i="94"/>
  <c r="V24" i="94"/>
  <c r="N24" i="94"/>
  <c r="L24" i="94"/>
  <c r="F24" i="94"/>
  <c r="B24" i="94"/>
  <c r="Z23" i="94"/>
  <c r="V23" i="94"/>
  <c r="T23" i="94"/>
  <c r="P23" i="94"/>
  <c r="X23" i="94" s="1"/>
  <c r="N23" i="94"/>
  <c r="J23" i="94"/>
  <c r="H23" i="94"/>
  <c r="D23" i="94"/>
  <c r="L23" i="94" s="1"/>
  <c r="B23" i="94"/>
  <c r="T22" i="94"/>
  <c r="P22" i="94"/>
  <c r="R22" i="94" s="1"/>
  <c r="H22" i="94"/>
  <c r="F22" i="94"/>
  <c r="D22" i="94"/>
  <c r="T20" i="94"/>
  <c r="H20" i="94"/>
  <c r="D20" i="94"/>
  <c r="Z18" i="94"/>
  <c r="X18" i="94"/>
  <c r="N18" i="94"/>
  <c r="L18" i="94"/>
  <c r="B18" i="94"/>
  <c r="Z17" i="94"/>
  <c r="X17" i="94"/>
  <c r="V17" i="94"/>
  <c r="T17" i="94"/>
  <c r="P17" i="94"/>
  <c r="N17" i="94"/>
  <c r="L17" i="94"/>
  <c r="J17" i="94"/>
  <c r="H17" i="94"/>
  <c r="D17" i="94"/>
  <c r="Z15" i="94"/>
  <c r="X15" i="94"/>
  <c r="P15" i="94"/>
  <c r="N15" i="94"/>
  <c r="L15" i="94"/>
  <c r="D15" i="94"/>
  <c r="B15" i="94"/>
  <c r="Z14" i="94"/>
  <c r="X14" i="94"/>
  <c r="P14" i="94"/>
  <c r="N14" i="94"/>
  <c r="D14" i="94"/>
  <c r="L14" i="94" s="1"/>
  <c r="B14" i="94"/>
  <c r="Z13" i="94"/>
  <c r="P13" i="94"/>
  <c r="X13" i="94" s="1"/>
  <c r="N13" i="94"/>
  <c r="D13" i="94"/>
  <c r="L13" i="94" s="1"/>
  <c r="B13" i="94"/>
  <c r="T12" i="94"/>
  <c r="V85" i="94" s="1"/>
  <c r="P12" i="94"/>
  <c r="R64" i="94" s="1"/>
  <c r="N12" i="94"/>
  <c r="L12" i="94"/>
  <c r="H12" i="94"/>
  <c r="D12" i="94"/>
  <c r="D6" i="94"/>
  <c r="D4" i="94"/>
  <c r="Z81" i="93"/>
  <c r="X81" i="93"/>
  <c r="N81" i="93"/>
  <c r="L81" i="93"/>
  <c r="F79" i="93"/>
  <c r="X77" i="93"/>
  <c r="T77" i="93"/>
  <c r="Z77" i="93" s="1"/>
  <c r="P77" i="93"/>
  <c r="H77" i="93"/>
  <c r="N77" i="93" s="1"/>
  <c r="D77" i="93"/>
  <c r="L77" i="93" s="1"/>
  <c r="Z75" i="93"/>
  <c r="X75" i="93"/>
  <c r="N75" i="93"/>
  <c r="L75" i="93"/>
  <c r="B75" i="93"/>
  <c r="Z74" i="93"/>
  <c r="X74" i="93"/>
  <c r="T74" i="93"/>
  <c r="P74" i="93"/>
  <c r="N74" i="93"/>
  <c r="L74" i="93"/>
  <c r="H74" i="93"/>
  <c r="D74" i="93"/>
  <c r="B74" i="93"/>
  <c r="Z73" i="93"/>
  <c r="X73" i="93"/>
  <c r="N73" i="93"/>
  <c r="L73" i="93"/>
  <c r="B73" i="93"/>
  <c r="Z72" i="93"/>
  <c r="X72" i="93"/>
  <c r="N72" i="93"/>
  <c r="L72" i="93"/>
  <c r="B72" i="93"/>
  <c r="Z71" i="93"/>
  <c r="T71" i="93"/>
  <c r="P71" i="93"/>
  <c r="X71" i="93" s="1"/>
  <c r="H71" i="93"/>
  <c r="N71" i="93" s="1"/>
  <c r="D71" i="93"/>
  <c r="B71" i="93"/>
  <c r="Z70" i="93"/>
  <c r="X70" i="93"/>
  <c r="N70" i="93"/>
  <c r="L70" i="93"/>
  <c r="J70" i="93"/>
  <c r="B70" i="93"/>
  <c r="Z69" i="93"/>
  <c r="X69" i="93"/>
  <c r="N69" i="93"/>
  <c r="L69" i="93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N66" i="93"/>
  <c r="L66" i="93"/>
  <c r="B66" i="93"/>
  <c r="Z65" i="93"/>
  <c r="X65" i="93"/>
  <c r="N65" i="93"/>
  <c r="L65" i="93"/>
  <c r="F65" i="93"/>
  <c r="B65" i="93"/>
  <c r="Z64" i="93"/>
  <c r="X64" i="93"/>
  <c r="N64" i="93"/>
  <c r="L64" i="93"/>
  <c r="B64" i="93"/>
  <c r="Z63" i="93"/>
  <c r="X63" i="93"/>
  <c r="N63" i="93"/>
  <c r="L63" i="93"/>
  <c r="B63" i="93"/>
  <c r="Z62" i="93"/>
  <c r="T62" i="93"/>
  <c r="P62" i="93"/>
  <c r="X62" i="93" s="1"/>
  <c r="N62" i="93"/>
  <c r="H62" i="93"/>
  <c r="D62" i="93"/>
  <c r="L62" i="93" s="1"/>
  <c r="B62" i="93"/>
  <c r="Z61" i="93"/>
  <c r="X61" i="93"/>
  <c r="N61" i="93"/>
  <c r="L61" i="93"/>
  <c r="B61" i="93"/>
  <c r="Z60" i="93"/>
  <c r="X60" i="93"/>
  <c r="N60" i="93"/>
  <c r="L60" i="93"/>
  <c r="J60" i="93"/>
  <c r="F60" i="93"/>
  <c r="B60" i="93"/>
  <c r="X59" i="93"/>
  <c r="T59" i="93"/>
  <c r="Z59" i="93" s="1"/>
  <c r="P59" i="93"/>
  <c r="H59" i="93"/>
  <c r="N59" i="93" s="1"/>
  <c r="D59" i="93"/>
  <c r="L59" i="93" s="1"/>
  <c r="B59" i="93"/>
  <c r="Z58" i="93"/>
  <c r="X58" i="93"/>
  <c r="N58" i="93"/>
  <c r="L58" i="93"/>
  <c r="B58" i="93"/>
  <c r="Z57" i="93"/>
  <c r="X57" i="93"/>
  <c r="N57" i="93"/>
  <c r="L57" i="93"/>
  <c r="J57" i="93"/>
  <c r="B57" i="93"/>
  <c r="Z56" i="93"/>
  <c r="X56" i="93"/>
  <c r="N56" i="93"/>
  <c r="L56" i="93"/>
  <c r="B56" i="93"/>
  <c r="Z55" i="93"/>
  <c r="T55" i="93"/>
  <c r="P55" i="93"/>
  <c r="X55" i="93" s="1"/>
  <c r="L55" i="93"/>
  <c r="H55" i="93"/>
  <c r="N55" i="93" s="1"/>
  <c r="D55" i="93"/>
  <c r="B55" i="93"/>
  <c r="Z54" i="93"/>
  <c r="X54" i="93"/>
  <c r="N54" i="93"/>
  <c r="L54" i="93"/>
  <c r="B54" i="93"/>
  <c r="X53" i="93"/>
  <c r="T53" i="93"/>
  <c r="Z53" i="93" s="1"/>
  <c r="P53" i="93"/>
  <c r="J53" i="93"/>
  <c r="H53" i="93"/>
  <c r="N53" i="93" s="1"/>
  <c r="D53" i="93"/>
  <c r="B53" i="93"/>
  <c r="Z52" i="93"/>
  <c r="X52" i="93"/>
  <c r="N52" i="93"/>
  <c r="L52" i="93"/>
  <c r="F52" i="93"/>
  <c r="B52" i="93"/>
  <c r="X51" i="93"/>
  <c r="T51" i="93"/>
  <c r="Z51" i="93" s="1"/>
  <c r="P51" i="93"/>
  <c r="H51" i="93"/>
  <c r="N51" i="93" s="1"/>
  <c r="D51" i="93"/>
  <c r="L51" i="93" s="1"/>
  <c r="B51" i="93"/>
  <c r="Z50" i="93"/>
  <c r="X50" i="93"/>
  <c r="V50" i="93"/>
  <c r="N50" i="93"/>
  <c r="L50" i="93"/>
  <c r="B50" i="93"/>
  <c r="T49" i="93"/>
  <c r="P49" i="93"/>
  <c r="X49" i="93" s="1"/>
  <c r="N49" i="93"/>
  <c r="H49" i="93"/>
  <c r="D49" i="93"/>
  <c r="L49" i="93" s="1"/>
  <c r="B49" i="93"/>
  <c r="Z48" i="93"/>
  <c r="X48" i="93"/>
  <c r="N48" i="93"/>
  <c r="L48" i="93"/>
  <c r="B48" i="93"/>
  <c r="T47" i="93"/>
  <c r="Z47" i="93" s="1"/>
  <c r="P47" i="93"/>
  <c r="X47" i="93" s="1"/>
  <c r="L47" i="93"/>
  <c r="J47" i="93"/>
  <c r="H47" i="93"/>
  <c r="N47" i="93" s="1"/>
  <c r="D47" i="93"/>
  <c r="B47" i="93"/>
  <c r="Z46" i="93"/>
  <c r="X46" i="93"/>
  <c r="N46" i="93"/>
  <c r="L46" i="93"/>
  <c r="J46" i="93"/>
  <c r="F46" i="93"/>
  <c r="B46" i="93"/>
  <c r="T45" i="93"/>
  <c r="Z45" i="93" s="1"/>
  <c r="P45" i="93"/>
  <c r="H45" i="93"/>
  <c r="N45" i="93" s="1"/>
  <c r="D45" i="93"/>
  <c r="B45" i="93"/>
  <c r="Z44" i="93"/>
  <c r="X44" i="93"/>
  <c r="N44" i="93"/>
  <c r="L44" i="93"/>
  <c r="J44" i="93"/>
  <c r="B44" i="93"/>
  <c r="Z43" i="93"/>
  <c r="T43" i="93"/>
  <c r="P43" i="93"/>
  <c r="X43" i="93" s="1"/>
  <c r="H43" i="93"/>
  <c r="N43" i="93" s="1"/>
  <c r="D43" i="93"/>
  <c r="B43" i="93"/>
  <c r="Z42" i="93"/>
  <c r="X42" i="93"/>
  <c r="N42" i="93"/>
  <c r="L42" i="93"/>
  <c r="B42" i="93"/>
  <c r="Z41" i="93"/>
  <c r="X41" i="93"/>
  <c r="N41" i="93"/>
  <c r="L41" i="93"/>
  <c r="F41" i="93"/>
  <c r="B41" i="93"/>
  <c r="Z40" i="93"/>
  <c r="X40" i="93"/>
  <c r="N40" i="93"/>
  <c r="L40" i="93"/>
  <c r="B40" i="93"/>
  <c r="Z39" i="93"/>
  <c r="X39" i="93"/>
  <c r="V39" i="93"/>
  <c r="N39" i="93"/>
  <c r="L39" i="93"/>
  <c r="F39" i="93"/>
  <c r="B39" i="93"/>
  <c r="Z38" i="93"/>
  <c r="X38" i="93"/>
  <c r="N38" i="93"/>
  <c r="L38" i="93"/>
  <c r="J38" i="93"/>
  <c r="B38" i="93"/>
  <c r="Z37" i="93"/>
  <c r="X37" i="93"/>
  <c r="N37" i="93"/>
  <c r="L37" i="93"/>
  <c r="B37" i="93"/>
  <c r="Z36" i="93"/>
  <c r="X36" i="93"/>
  <c r="N36" i="93"/>
  <c r="L36" i="93"/>
  <c r="J36" i="93"/>
  <c r="B36" i="93"/>
  <c r="Z35" i="93"/>
  <c r="X35" i="93"/>
  <c r="N35" i="93"/>
  <c r="L35" i="93"/>
  <c r="F35" i="93"/>
  <c r="B35" i="93"/>
  <c r="Z34" i="93"/>
  <c r="X34" i="93"/>
  <c r="N34" i="93"/>
  <c r="L34" i="93"/>
  <c r="J34" i="93"/>
  <c r="B34" i="93"/>
  <c r="Z33" i="93"/>
  <c r="X33" i="93"/>
  <c r="N33" i="93"/>
  <c r="L33" i="93"/>
  <c r="B33" i="93"/>
  <c r="Z32" i="93"/>
  <c r="T32" i="93"/>
  <c r="P32" i="93"/>
  <c r="X32" i="93" s="1"/>
  <c r="N32" i="93"/>
  <c r="H32" i="93"/>
  <c r="D32" i="93"/>
  <c r="L32" i="93" s="1"/>
  <c r="B32" i="93"/>
  <c r="Z31" i="93"/>
  <c r="X31" i="93"/>
  <c r="N31" i="93"/>
  <c r="L31" i="93"/>
  <c r="B31" i="93"/>
  <c r="Z30" i="93"/>
  <c r="X30" i="93"/>
  <c r="N30" i="93"/>
  <c r="L30" i="93"/>
  <c r="J30" i="93"/>
  <c r="B30" i="93"/>
  <c r="Z29" i="93"/>
  <c r="X29" i="93"/>
  <c r="N29" i="93"/>
  <c r="L29" i="93"/>
  <c r="B29" i="93"/>
  <c r="Z28" i="93"/>
  <c r="X28" i="93"/>
  <c r="N28" i="93"/>
  <c r="L28" i="93"/>
  <c r="J28" i="93"/>
  <c r="F28" i="93"/>
  <c r="B28" i="93"/>
  <c r="Z27" i="93"/>
  <c r="X27" i="93"/>
  <c r="N27" i="93"/>
  <c r="L27" i="93"/>
  <c r="B27" i="93"/>
  <c r="Z26" i="93"/>
  <c r="X26" i="93"/>
  <c r="V26" i="93"/>
  <c r="N26" i="93"/>
  <c r="L26" i="93"/>
  <c r="J26" i="93"/>
  <c r="F26" i="93"/>
  <c r="B26" i="93"/>
  <c r="Z25" i="93"/>
  <c r="X25" i="93"/>
  <c r="N25" i="93"/>
  <c r="L25" i="93"/>
  <c r="B25" i="93"/>
  <c r="Z24" i="93"/>
  <c r="X24" i="93"/>
  <c r="N24" i="93"/>
  <c r="L24" i="93"/>
  <c r="F24" i="93"/>
  <c r="B24" i="93"/>
  <c r="Z23" i="93"/>
  <c r="X23" i="93"/>
  <c r="N23" i="93"/>
  <c r="L23" i="93"/>
  <c r="B23" i="93"/>
  <c r="Z22" i="93"/>
  <c r="X22" i="93"/>
  <c r="T22" i="93"/>
  <c r="P22" i="93"/>
  <c r="N22" i="93"/>
  <c r="L22" i="93"/>
  <c r="H22" i="93"/>
  <c r="D22" i="93"/>
  <c r="B22" i="93"/>
  <c r="T21" i="93"/>
  <c r="P21" i="93"/>
  <c r="X21" i="93" s="1"/>
  <c r="Z21" i="93" s="1"/>
  <c r="H21" i="93"/>
  <c r="D21" i="93"/>
  <c r="L21" i="93" s="1"/>
  <c r="N21" i="93" s="1"/>
  <c r="T19" i="93"/>
  <c r="Z17" i="93"/>
  <c r="X17" i="93"/>
  <c r="N17" i="93"/>
  <c r="L17" i="93"/>
  <c r="J17" i="93"/>
  <c r="F17" i="93"/>
  <c r="B17" i="93"/>
  <c r="Z16" i="93"/>
  <c r="V16" i="93"/>
  <c r="T16" i="93"/>
  <c r="X16" i="93" s="1"/>
  <c r="P16" i="93"/>
  <c r="J16" i="93"/>
  <c r="H16" i="93"/>
  <c r="N16" i="93" s="1"/>
  <c r="D16" i="93"/>
  <c r="L16" i="93" s="1"/>
  <c r="Z14" i="93"/>
  <c r="P14" i="93"/>
  <c r="X14" i="93" s="1"/>
  <c r="N14" i="93"/>
  <c r="L14" i="93"/>
  <c r="D14" i="93"/>
  <c r="B14" i="93"/>
  <c r="Z13" i="93"/>
  <c r="P13" i="93"/>
  <c r="N13" i="93"/>
  <c r="D13" i="93"/>
  <c r="L13" i="93" s="1"/>
  <c r="B13" i="93"/>
  <c r="Z12" i="93"/>
  <c r="T12" i="93"/>
  <c r="V74" i="93" s="1"/>
  <c r="N12" i="93"/>
  <c r="H12" i="93"/>
  <c r="J73" i="93" s="1"/>
  <c r="D12" i="93"/>
  <c r="F77" i="93" s="1"/>
  <c r="D6" i="93"/>
  <c r="D4" i="93"/>
  <c r="Z80" i="92"/>
  <c r="X80" i="92"/>
  <c r="V80" i="92"/>
  <c r="N80" i="92"/>
  <c r="L80" i="92"/>
  <c r="Z76" i="92"/>
  <c r="X76" i="92"/>
  <c r="T76" i="92"/>
  <c r="P76" i="92"/>
  <c r="N76" i="92"/>
  <c r="L76" i="92"/>
  <c r="H76" i="92"/>
  <c r="D76" i="92"/>
  <c r="Z74" i="92"/>
  <c r="X74" i="92"/>
  <c r="N74" i="92"/>
  <c r="L74" i="92"/>
  <c r="B74" i="92"/>
  <c r="T73" i="92"/>
  <c r="P73" i="92"/>
  <c r="L73" i="92"/>
  <c r="H73" i="92"/>
  <c r="N73" i="92" s="1"/>
  <c r="D73" i="92"/>
  <c r="B73" i="92"/>
  <c r="Z72" i="92"/>
  <c r="X72" i="92"/>
  <c r="N72" i="92"/>
  <c r="L72" i="92"/>
  <c r="B72" i="92"/>
  <c r="Z71" i="92"/>
  <c r="X71" i="92"/>
  <c r="N71" i="92"/>
  <c r="L71" i="92"/>
  <c r="B71" i="92"/>
  <c r="Z70" i="92"/>
  <c r="T70" i="92"/>
  <c r="X70" i="92" s="1"/>
  <c r="P70" i="92"/>
  <c r="N70" i="92"/>
  <c r="H70" i="92"/>
  <c r="D70" i="92"/>
  <c r="L70" i="92" s="1"/>
  <c r="B70" i="92"/>
  <c r="Z69" i="92"/>
  <c r="X69" i="92"/>
  <c r="N69" i="92"/>
  <c r="L69" i="92"/>
  <c r="B69" i="92"/>
  <c r="Z68" i="92"/>
  <c r="X68" i="92"/>
  <c r="N68" i="92"/>
  <c r="L68" i="92"/>
  <c r="B68" i="92"/>
  <c r="Z67" i="92"/>
  <c r="X67" i="92"/>
  <c r="N67" i="92"/>
  <c r="L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V64" i="92"/>
  <c r="T64" i="92"/>
  <c r="P64" i="92"/>
  <c r="X64" i="92" s="1"/>
  <c r="N64" i="92"/>
  <c r="H64" i="92"/>
  <c r="D64" i="92"/>
  <c r="L64" i="92" s="1"/>
  <c r="B64" i="92"/>
  <c r="Z63" i="92"/>
  <c r="X63" i="92"/>
  <c r="V63" i="92"/>
  <c r="N63" i="92"/>
  <c r="L63" i="92"/>
  <c r="B63" i="92"/>
  <c r="Z62" i="92"/>
  <c r="X62" i="92"/>
  <c r="V62" i="92"/>
  <c r="N62" i="92"/>
  <c r="L62" i="92"/>
  <c r="B62" i="92"/>
  <c r="Z61" i="92"/>
  <c r="X61" i="92"/>
  <c r="N61" i="92"/>
  <c r="L61" i="92"/>
  <c r="B61" i="92"/>
  <c r="Z60" i="92"/>
  <c r="X60" i="92"/>
  <c r="V60" i="92"/>
  <c r="N60" i="92"/>
  <c r="L60" i="92"/>
  <c r="B60" i="92"/>
  <c r="T59" i="92"/>
  <c r="P59" i="92"/>
  <c r="N59" i="92"/>
  <c r="L59" i="92"/>
  <c r="H59" i="92"/>
  <c r="D59" i="92"/>
  <c r="B59" i="92"/>
  <c r="Z58" i="92"/>
  <c r="X58" i="92"/>
  <c r="N58" i="92"/>
  <c r="L58" i="92"/>
  <c r="B58" i="92"/>
  <c r="Z57" i="92"/>
  <c r="T57" i="92"/>
  <c r="P57" i="92"/>
  <c r="X57" i="92" s="1"/>
  <c r="L57" i="92"/>
  <c r="H57" i="92"/>
  <c r="N57" i="92" s="1"/>
  <c r="D57" i="92"/>
  <c r="B57" i="92"/>
  <c r="Z56" i="92"/>
  <c r="X56" i="92"/>
  <c r="N56" i="92"/>
  <c r="L56" i="92"/>
  <c r="B56" i="92"/>
  <c r="Z55" i="92"/>
  <c r="X55" i="92"/>
  <c r="V55" i="92"/>
  <c r="N55" i="92"/>
  <c r="L55" i="92"/>
  <c r="B55" i="92"/>
  <c r="Z54" i="92"/>
  <c r="X54" i="92"/>
  <c r="V54" i="92"/>
  <c r="T54" i="92"/>
  <c r="P54" i="92"/>
  <c r="N54" i="92"/>
  <c r="H54" i="92"/>
  <c r="D54" i="92"/>
  <c r="L54" i="92" s="1"/>
  <c r="B54" i="92"/>
  <c r="Z53" i="92"/>
  <c r="X53" i="92"/>
  <c r="N53" i="92"/>
  <c r="L53" i="92"/>
  <c r="B53" i="92"/>
  <c r="Z52" i="92"/>
  <c r="X52" i="92"/>
  <c r="T52" i="92"/>
  <c r="P52" i="92"/>
  <c r="N52" i="92"/>
  <c r="L52" i="92"/>
  <c r="H52" i="92"/>
  <c r="D52" i="92"/>
  <c r="B52" i="92"/>
  <c r="Z51" i="92"/>
  <c r="X51" i="92"/>
  <c r="N51" i="92"/>
  <c r="L51" i="92"/>
  <c r="B51" i="92"/>
  <c r="X50" i="92"/>
  <c r="T50" i="92"/>
  <c r="Z50" i="92" s="1"/>
  <c r="P50" i="92"/>
  <c r="N50" i="92"/>
  <c r="H50" i="92"/>
  <c r="D50" i="92"/>
  <c r="L50" i="92" s="1"/>
  <c r="B50" i="92"/>
  <c r="Z49" i="92"/>
  <c r="X49" i="92"/>
  <c r="N49" i="92"/>
  <c r="L49" i="92"/>
  <c r="B49" i="92"/>
  <c r="Z48" i="92"/>
  <c r="X48" i="92"/>
  <c r="V48" i="92"/>
  <c r="T48" i="92"/>
  <c r="P48" i="92"/>
  <c r="N48" i="92"/>
  <c r="H48" i="92"/>
  <c r="D48" i="92"/>
  <c r="L48" i="92" s="1"/>
  <c r="B48" i="92"/>
  <c r="X47" i="92"/>
  <c r="Z47" i="92" s="1"/>
  <c r="N47" i="92"/>
  <c r="L47" i="92"/>
  <c r="B47" i="92"/>
  <c r="Z46" i="92"/>
  <c r="X46" i="92"/>
  <c r="N46" i="92"/>
  <c r="L46" i="92"/>
  <c r="B46" i="92"/>
  <c r="T45" i="92"/>
  <c r="P45" i="92"/>
  <c r="N45" i="92"/>
  <c r="L45" i="92"/>
  <c r="H45" i="92"/>
  <c r="D45" i="92"/>
  <c r="B45" i="92"/>
  <c r="Z44" i="92"/>
  <c r="X44" i="92"/>
  <c r="V44" i="92"/>
  <c r="N44" i="92"/>
  <c r="L44" i="92"/>
  <c r="B44" i="92"/>
  <c r="T43" i="92"/>
  <c r="Z43" i="92" s="1"/>
  <c r="P43" i="92"/>
  <c r="X43" i="92" s="1"/>
  <c r="H43" i="92"/>
  <c r="L43" i="92" s="1"/>
  <c r="D43" i="92"/>
  <c r="B43" i="92"/>
  <c r="Z42" i="92"/>
  <c r="X42" i="92"/>
  <c r="V42" i="92"/>
  <c r="N42" i="92"/>
  <c r="L42" i="92"/>
  <c r="B42" i="92"/>
  <c r="Z41" i="92"/>
  <c r="T41" i="92"/>
  <c r="P41" i="92"/>
  <c r="X41" i="92" s="1"/>
  <c r="H41" i="92"/>
  <c r="N41" i="92" s="1"/>
  <c r="D41" i="92"/>
  <c r="L41" i="92" s="1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V38" i="92"/>
  <c r="N38" i="92"/>
  <c r="L38" i="92"/>
  <c r="B38" i="92"/>
  <c r="Z37" i="92"/>
  <c r="X37" i="92"/>
  <c r="N37" i="92"/>
  <c r="L37" i="92"/>
  <c r="B37" i="92"/>
  <c r="Z36" i="92"/>
  <c r="X36" i="92"/>
  <c r="N36" i="92"/>
  <c r="L36" i="92"/>
  <c r="B36" i="92"/>
  <c r="Z35" i="92"/>
  <c r="X35" i="92"/>
  <c r="N35" i="92"/>
  <c r="L35" i="92"/>
  <c r="B35" i="92"/>
  <c r="Z34" i="92"/>
  <c r="X34" i="92"/>
  <c r="V34" i="92"/>
  <c r="N34" i="92"/>
  <c r="L34" i="92"/>
  <c r="B34" i="92"/>
  <c r="Z33" i="92"/>
  <c r="X33" i="92"/>
  <c r="R33" i="92"/>
  <c r="N33" i="92"/>
  <c r="L33" i="92"/>
  <c r="B33" i="92"/>
  <c r="Z32" i="92"/>
  <c r="X32" i="92"/>
  <c r="N32" i="92"/>
  <c r="L32" i="92"/>
  <c r="B32" i="92"/>
  <c r="Z31" i="92"/>
  <c r="X31" i="92"/>
  <c r="N31" i="92"/>
  <c r="L31" i="92"/>
  <c r="B31" i="92"/>
  <c r="Z30" i="92"/>
  <c r="X30" i="92"/>
  <c r="V30" i="92"/>
  <c r="T30" i="92"/>
  <c r="P30" i="92"/>
  <c r="L30" i="92"/>
  <c r="H30" i="92"/>
  <c r="N30" i="92" s="1"/>
  <c r="D30" i="92"/>
  <c r="B30" i="92"/>
  <c r="Z29" i="92"/>
  <c r="X29" i="92"/>
  <c r="V29" i="92"/>
  <c r="N29" i="92"/>
  <c r="L29" i="92"/>
  <c r="B29" i="92"/>
  <c r="Z28" i="92"/>
  <c r="X28" i="92"/>
  <c r="V28" i="92"/>
  <c r="R28" i="92"/>
  <c r="N28" i="92"/>
  <c r="L28" i="92"/>
  <c r="B28" i="92"/>
  <c r="Z27" i="92"/>
  <c r="X27" i="92"/>
  <c r="V27" i="92"/>
  <c r="N27" i="92"/>
  <c r="L27" i="92"/>
  <c r="B27" i="92"/>
  <c r="Z26" i="92"/>
  <c r="X26" i="92"/>
  <c r="N26" i="92"/>
  <c r="L26" i="92"/>
  <c r="B26" i="92"/>
  <c r="Z25" i="92"/>
  <c r="X25" i="92"/>
  <c r="V25" i="92"/>
  <c r="N25" i="92"/>
  <c r="L25" i="92"/>
  <c r="B25" i="92"/>
  <c r="Z24" i="92"/>
  <c r="X24" i="92"/>
  <c r="V24" i="92"/>
  <c r="N24" i="92"/>
  <c r="L24" i="92"/>
  <c r="B24" i="92"/>
  <c r="Z23" i="92"/>
  <c r="X23" i="92"/>
  <c r="V23" i="92"/>
  <c r="N23" i="92"/>
  <c r="L23" i="92"/>
  <c r="B23" i="92"/>
  <c r="Z22" i="92"/>
  <c r="X22" i="92"/>
  <c r="N22" i="92"/>
  <c r="L22" i="92"/>
  <c r="B22" i="92"/>
  <c r="V21" i="92"/>
  <c r="T21" i="92"/>
  <c r="P21" i="92"/>
  <c r="H21" i="92"/>
  <c r="N21" i="92" s="1"/>
  <c r="D21" i="92"/>
  <c r="L21" i="92" s="1"/>
  <c r="B21" i="92"/>
  <c r="V20" i="92"/>
  <c r="T20" i="92"/>
  <c r="P20" i="92"/>
  <c r="H20" i="92"/>
  <c r="D20" i="92"/>
  <c r="L20" i="92" s="1"/>
  <c r="V18" i="92"/>
  <c r="Z16" i="92"/>
  <c r="X16" i="92"/>
  <c r="V16" i="92"/>
  <c r="N16" i="92"/>
  <c r="L16" i="92"/>
  <c r="B16" i="92"/>
  <c r="V15" i="92"/>
  <c r="T15" i="92"/>
  <c r="T18" i="92" s="1"/>
  <c r="P15" i="92"/>
  <c r="X15" i="92" s="1"/>
  <c r="N15" i="92"/>
  <c r="H15" i="92"/>
  <c r="D15" i="92"/>
  <c r="L15" i="92" s="1"/>
  <c r="Z13" i="92"/>
  <c r="P13" i="92"/>
  <c r="P12" i="92" s="1"/>
  <c r="R37" i="92" s="1"/>
  <c r="N13" i="92"/>
  <c r="D13" i="92"/>
  <c r="B13" i="92"/>
  <c r="T12" i="92"/>
  <c r="V65" i="92" s="1"/>
  <c r="H12" i="92"/>
  <c r="D6" i="92"/>
  <c r="D4" i="92"/>
  <c r="J86" i="91"/>
  <c r="Z84" i="91"/>
  <c r="X84" i="91"/>
  <c r="N84" i="91"/>
  <c r="L84" i="91"/>
  <c r="Z80" i="91"/>
  <c r="X80" i="91"/>
  <c r="R80" i="91"/>
  <c r="P80" i="91"/>
  <c r="N80" i="91"/>
  <c r="D80" i="91"/>
  <c r="L80" i="91" s="1"/>
  <c r="B80" i="91"/>
  <c r="Z79" i="91"/>
  <c r="V79" i="91"/>
  <c r="P79" i="91"/>
  <c r="P78" i="91" s="1"/>
  <c r="N79" i="91"/>
  <c r="L79" i="91"/>
  <c r="D79" i="91"/>
  <c r="B79" i="91"/>
  <c r="V78" i="91"/>
  <c r="T78" i="91"/>
  <c r="Z78" i="91" s="1"/>
  <c r="N78" i="91"/>
  <c r="H78" i="91"/>
  <c r="D78" i="91"/>
  <c r="L78" i="91" s="1"/>
  <c r="Z76" i="91"/>
  <c r="X76" i="91"/>
  <c r="V76" i="91"/>
  <c r="L76" i="91"/>
  <c r="N76" i="91" s="1"/>
  <c r="J76" i="91"/>
  <c r="B76" i="91"/>
  <c r="T75" i="91"/>
  <c r="P75" i="91"/>
  <c r="X75" i="91" s="1"/>
  <c r="Z75" i="91" s="1"/>
  <c r="H75" i="91"/>
  <c r="L75" i="91" s="1"/>
  <c r="D75" i="91"/>
  <c r="B75" i="91"/>
  <c r="Z74" i="91"/>
  <c r="X74" i="91"/>
  <c r="N74" i="91"/>
  <c r="L74" i="91"/>
  <c r="F74" i="91"/>
  <c r="B74" i="91"/>
  <c r="Z73" i="91"/>
  <c r="T73" i="91"/>
  <c r="P73" i="91"/>
  <c r="X73" i="91" s="1"/>
  <c r="H73" i="91"/>
  <c r="N73" i="91" s="1"/>
  <c r="F73" i="91"/>
  <c r="D73" i="91"/>
  <c r="L73" i="91" s="1"/>
  <c r="B73" i="91"/>
  <c r="X72" i="91"/>
  <c r="Z72" i="91" s="1"/>
  <c r="N72" i="91"/>
  <c r="L72" i="91"/>
  <c r="F72" i="91"/>
  <c r="B72" i="91"/>
  <c r="Z71" i="91"/>
  <c r="X71" i="91"/>
  <c r="T71" i="91"/>
  <c r="P71" i="91"/>
  <c r="H71" i="91"/>
  <c r="F71" i="91"/>
  <c r="D71" i="91"/>
  <c r="B71" i="91"/>
  <c r="Z70" i="91"/>
  <c r="X70" i="91"/>
  <c r="N70" i="91"/>
  <c r="L70" i="91"/>
  <c r="B70" i="91"/>
  <c r="Z69" i="91"/>
  <c r="X69" i="91"/>
  <c r="V69" i="91"/>
  <c r="N69" i="91"/>
  <c r="L69" i="91"/>
  <c r="B69" i="91"/>
  <c r="Z68" i="91"/>
  <c r="X68" i="91"/>
  <c r="V68" i="91"/>
  <c r="N68" i="91"/>
  <c r="L68" i="91"/>
  <c r="J68" i="91"/>
  <c r="B68" i="91"/>
  <c r="Z67" i="91"/>
  <c r="X67" i="91"/>
  <c r="N67" i="91"/>
  <c r="L67" i="91"/>
  <c r="J67" i="91"/>
  <c r="B67" i="91"/>
  <c r="Z66" i="91"/>
  <c r="X66" i="91"/>
  <c r="N66" i="91"/>
  <c r="L66" i="91"/>
  <c r="B66" i="91"/>
  <c r="Z65" i="91"/>
  <c r="X65" i="91"/>
  <c r="V65" i="91"/>
  <c r="R65" i="91"/>
  <c r="N65" i="91"/>
  <c r="L65" i="91"/>
  <c r="B65" i="91"/>
  <c r="Z64" i="91"/>
  <c r="X64" i="91"/>
  <c r="V64" i="91"/>
  <c r="N64" i="91"/>
  <c r="L64" i="91"/>
  <c r="J64" i="91"/>
  <c r="B64" i="91"/>
  <c r="Z63" i="91"/>
  <c r="T63" i="91"/>
  <c r="P63" i="91"/>
  <c r="X63" i="91" s="1"/>
  <c r="H63" i="91"/>
  <c r="L63" i="91" s="1"/>
  <c r="D63" i="91"/>
  <c r="B63" i="91"/>
  <c r="Z62" i="91"/>
  <c r="X62" i="91"/>
  <c r="N62" i="91"/>
  <c r="L62" i="91"/>
  <c r="F62" i="91"/>
  <c r="B62" i="91"/>
  <c r="Z61" i="91"/>
  <c r="X61" i="91"/>
  <c r="N61" i="91"/>
  <c r="L61" i="91"/>
  <c r="F61" i="91"/>
  <c r="B61" i="91"/>
  <c r="Z60" i="91"/>
  <c r="X60" i="91"/>
  <c r="V60" i="91"/>
  <c r="N60" i="91"/>
  <c r="L60" i="91"/>
  <c r="B60" i="91"/>
  <c r="X59" i="91"/>
  <c r="Z59" i="91" s="1"/>
  <c r="V59" i="91"/>
  <c r="L59" i="91"/>
  <c r="N59" i="91" s="1"/>
  <c r="B59" i="91"/>
  <c r="T58" i="91"/>
  <c r="Z58" i="91" s="1"/>
  <c r="R58" i="91"/>
  <c r="P58" i="91"/>
  <c r="X58" i="91" s="1"/>
  <c r="L58" i="91"/>
  <c r="N58" i="91" s="1"/>
  <c r="J58" i="91"/>
  <c r="H58" i="91"/>
  <c r="D58" i="91"/>
  <c r="B58" i="91"/>
  <c r="Z57" i="91"/>
  <c r="X57" i="91"/>
  <c r="N57" i="91"/>
  <c r="L57" i="91"/>
  <c r="J57" i="91"/>
  <c r="F57" i="91"/>
  <c r="B57" i="91"/>
  <c r="Z56" i="91"/>
  <c r="X56" i="91"/>
  <c r="N56" i="91"/>
  <c r="L56" i="91"/>
  <c r="F56" i="91"/>
  <c r="B56" i="91"/>
  <c r="Z55" i="91"/>
  <c r="X55" i="91"/>
  <c r="T55" i="91"/>
  <c r="P55" i="91"/>
  <c r="H55" i="91"/>
  <c r="N55" i="91" s="1"/>
  <c r="F55" i="91"/>
  <c r="D55" i="91"/>
  <c r="L55" i="91" s="1"/>
  <c r="B55" i="91"/>
  <c r="Z54" i="91"/>
  <c r="X54" i="91"/>
  <c r="L54" i="91"/>
  <c r="N54" i="91" s="1"/>
  <c r="B54" i="91"/>
  <c r="V53" i="91"/>
  <c r="T53" i="91"/>
  <c r="X53" i="91" s="1"/>
  <c r="P53" i="91"/>
  <c r="H53" i="91"/>
  <c r="D53" i="91"/>
  <c r="L53" i="91" s="1"/>
  <c r="N53" i="91" s="1"/>
  <c r="B53" i="91"/>
  <c r="Z52" i="91"/>
  <c r="X52" i="91"/>
  <c r="V52" i="91"/>
  <c r="N52" i="91"/>
  <c r="L52" i="91"/>
  <c r="B52" i="91"/>
  <c r="V51" i="91"/>
  <c r="T51" i="91"/>
  <c r="Z51" i="91" s="1"/>
  <c r="P51" i="91"/>
  <c r="X51" i="91" s="1"/>
  <c r="N51" i="91"/>
  <c r="H51" i="91"/>
  <c r="D51" i="91"/>
  <c r="L51" i="91" s="1"/>
  <c r="B51" i="91"/>
  <c r="Z50" i="91"/>
  <c r="X50" i="91"/>
  <c r="N50" i="91"/>
  <c r="L50" i="91"/>
  <c r="B50" i="91"/>
  <c r="T49" i="91"/>
  <c r="R49" i="91"/>
  <c r="P49" i="91"/>
  <c r="N49" i="91"/>
  <c r="L49" i="91"/>
  <c r="H49" i="91"/>
  <c r="D49" i="91"/>
  <c r="B49" i="91"/>
  <c r="Z48" i="91"/>
  <c r="X48" i="91"/>
  <c r="V48" i="91"/>
  <c r="N48" i="91"/>
  <c r="L48" i="91"/>
  <c r="J48" i="91"/>
  <c r="B48" i="91"/>
  <c r="Z47" i="91"/>
  <c r="T47" i="91"/>
  <c r="P47" i="91"/>
  <c r="X47" i="91" s="1"/>
  <c r="N47" i="91"/>
  <c r="J47" i="91"/>
  <c r="H47" i="91"/>
  <c r="L47" i="91" s="1"/>
  <c r="D47" i="91"/>
  <c r="B47" i="91"/>
  <c r="X46" i="91"/>
  <c r="Z46" i="91" s="1"/>
  <c r="L46" i="91"/>
  <c r="N46" i="91" s="1"/>
  <c r="F46" i="91"/>
  <c r="B46" i="91"/>
  <c r="Z45" i="91"/>
  <c r="X45" i="91"/>
  <c r="V45" i="91"/>
  <c r="N45" i="91"/>
  <c r="L45" i="91"/>
  <c r="F45" i="91"/>
  <c r="B45" i="91"/>
  <c r="X44" i="91"/>
  <c r="Z44" i="91" s="1"/>
  <c r="V44" i="91"/>
  <c r="T44" i="91"/>
  <c r="P44" i="91"/>
  <c r="H44" i="91"/>
  <c r="N44" i="91" s="1"/>
  <c r="F44" i="91"/>
  <c r="D44" i="91"/>
  <c r="L44" i="91" s="1"/>
  <c r="B44" i="91"/>
  <c r="Z43" i="91"/>
  <c r="X43" i="91"/>
  <c r="N43" i="91"/>
  <c r="L43" i="91"/>
  <c r="B43" i="91"/>
  <c r="Z42" i="91"/>
  <c r="X42" i="91"/>
  <c r="T42" i="91"/>
  <c r="R42" i="91"/>
  <c r="P42" i="91"/>
  <c r="L42" i="91"/>
  <c r="H42" i="91"/>
  <c r="N42" i="91" s="1"/>
  <c r="D42" i="91"/>
  <c r="B42" i="91"/>
  <c r="Z41" i="91"/>
  <c r="X41" i="91"/>
  <c r="V41" i="91"/>
  <c r="R41" i="91"/>
  <c r="N41" i="91"/>
  <c r="L41" i="91"/>
  <c r="J41" i="91"/>
  <c r="B41" i="91"/>
  <c r="V40" i="91"/>
  <c r="T40" i="91"/>
  <c r="Z40" i="91" s="1"/>
  <c r="P40" i="91"/>
  <c r="X40" i="91" s="1"/>
  <c r="H40" i="91"/>
  <c r="N40" i="91" s="1"/>
  <c r="D40" i="91"/>
  <c r="B40" i="91"/>
  <c r="Z39" i="91"/>
  <c r="X39" i="91"/>
  <c r="V39" i="91"/>
  <c r="N39" i="91"/>
  <c r="L39" i="91"/>
  <c r="B39" i="91"/>
  <c r="Z38" i="91"/>
  <c r="X38" i="91"/>
  <c r="V38" i="91"/>
  <c r="N38" i="91"/>
  <c r="L38" i="91"/>
  <c r="F38" i="91"/>
  <c r="B38" i="91"/>
  <c r="Z37" i="91"/>
  <c r="X37" i="91"/>
  <c r="V37" i="91"/>
  <c r="N37" i="91"/>
  <c r="L37" i="91"/>
  <c r="F37" i="91"/>
  <c r="B37" i="91"/>
  <c r="Z36" i="91"/>
  <c r="X36" i="91"/>
  <c r="V36" i="91"/>
  <c r="N36" i="91"/>
  <c r="L36" i="91"/>
  <c r="B36" i="91"/>
  <c r="Z35" i="91"/>
  <c r="X35" i="91"/>
  <c r="V35" i="91"/>
  <c r="N35" i="91"/>
  <c r="L35" i="91"/>
  <c r="B35" i="91"/>
  <c r="Z34" i="91"/>
  <c r="X34" i="91"/>
  <c r="V34" i="91"/>
  <c r="N34" i="91"/>
  <c r="L34" i="91"/>
  <c r="F34" i="91"/>
  <c r="B34" i="91"/>
  <c r="Z33" i="91"/>
  <c r="X33" i="91"/>
  <c r="V33" i="91"/>
  <c r="N33" i="91"/>
  <c r="L33" i="91"/>
  <c r="F33" i="91"/>
  <c r="B33" i="91"/>
  <c r="Z32" i="91"/>
  <c r="X32" i="91"/>
  <c r="V32" i="91"/>
  <c r="N32" i="91"/>
  <c r="L32" i="91"/>
  <c r="F32" i="91"/>
  <c r="B32" i="91"/>
  <c r="Z31" i="91"/>
  <c r="X31" i="91"/>
  <c r="V31" i="91"/>
  <c r="N31" i="91"/>
  <c r="L31" i="91"/>
  <c r="B31" i="91"/>
  <c r="Z30" i="91"/>
  <c r="X30" i="91"/>
  <c r="V30" i="91"/>
  <c r="N30" i="91"/>
  <c r="L30" i="91"/>
  <c r="F30" i="91"/>
  <c r="B30" i="91"/>
  <c r="Z29" i="91"/>
  <c r="V29" i="91"/>
  <c r="T29" i="91"/>
  <c r="P29" i="91"/>
  <c r="X29" i="91" s="1"/>
  <c r="J29" i="91"/>
  <c r="H29" i="91"/>
  <c r="N29" i="91" s="1"/>
  <c r="F29" i="91"/>
  <c r="D29" i="91"/>
  <c r="L29" i="91" s="1"/>
  <c r="B29" i="91"/>
  <c r="X28" i="91"/>
  <c r="Z28" i="91" s="1"/>
  <c r="N28" i="91"/>
  <c r="L28" i="91"/>
  <c r="J28" i="91"/>
  <c r="F28" i="91"/>
  <c r="B28" i="91"/>
  <c r="Z27" i="91"/>
  <c r="X27" i="91"/>
  <c r="N27" i="91"/>
  <c r="L27" i="91"/>
  <c r="F27" i="91"/>
  <c r="B27" i="91"/>
  <c r="Z26" i="91"/>
  <c r="X26" i="91"/>
  <c r="V26" i="91"/>
  <c r="R26" i="91"/>
  <c r="N26" i="91"/>
  <c r="L26" i="91"/>
  <c r="F26" i="91"/>
  <c r="B26" i="91"/>
  <c r="Z25" i="91"/>
  <c r="X25" i="91"/>
  <c r="N25" i="91"/>
  <c r="L25" i="91"/>
  <c r="F25" i="91"/>
  <c r="B25" i="91"/>
  <c r="Z24" i="91"/>
  <c r="X24" i="91"/>
  <c r="N24" i="91"/>
  <c r="L24" i="91"/>
  <c r="J24" i="91"/>
  <c r="F24" i="91"/>
  <c r="B24" i="91"/>
  <c r="Z23" i="91"/>
  <c r="X23" i="91"/>
  <c r="N23" i="91"/>
  <c r="L23" i="91"/>
  <c r="F23" i="91"/>
  <c r="B23" i="91"/>
  <c r="X22" i="91"/>
  <c r="Z22" i="91" s="1"/>
  <c r="V22" i="91"/>
  <c r="N22" i="91"/>
  <c r="L22" i="91"/>
  <c r="F22" i="91"/>
  <c r="B22" i="91"/>
  <c r="Z21" i="91"/>
  <c r="X21" i="91"/>
  <c r="V21" i="91"/>
  <c r="N21" i="91"/>
  <c r="L21" i="91"/>
  <c r="J21" i="91"/>
  <c r="F21" i="91"/>
  <c r="B21" i="91"/>
  <c r="Z20" i="91"/>
  <c r="X20" i="91"/>
  <c r="N20" i="91"/>
  <c r="L20" i="91"/>
  <c r="J20" i="91"/>
  <c r="F20" i="91"/>
  <c r="B20" i="91"/>
  <c r="Z19" i="91"/>
  <c r="X19" i="91"/>
  <c r="V19" i="91"/>
  <c r="T19" i="91"/>
  <c r="P19" i="91"/>
  <c r="L19" i="91"/>
  <c r="N19" i="91" s="1"/>
  <c r="H19" i="91"/>
  <c r="F19" i="91"/>
  <c r="D19" i="91"/>
  <c r="B19" i="91"/>
  <c r="T18" i="91"/>
  <c r="P18" i="91"/>
  <c r="N18" i="91"/>
  <c r="H18" i="91"/>
  <c r="F18" i="91"/>
  <c r="D18" i="91"/>
  <c r="L18" i="91" s="1"/>
  <c r="T16" i="91"/>
  <c r="Z16" i="91" s="1"/>
  <c r="J16" i="91"/>
  <c r="H16" i="91"/>
  <c r="F16" i="91"/>
  <c r="D16" i="91"/>
  <c r="T14" i="91"/>
  <c r="Z14" i="91" s="1"/>
  <c r="P14" i="91"/>
  <c r="X14" i="91" s="1"/>
  <c r="J14" i="91"/>
  <c r="H14" i="91"/>
  <c r="N14" i="91" s="1"/>
  <c r="F14" i="91"/>
  <c r="D14" i="91"/>
  <c r="Z12" i="91"/>
  <c r="T12" i="91"/>
  <c r="V71" i="91" s="1"/>
  <c r="P12" i="91"/>
  <c r="L12" i="91"/>
  <c r="H12" i="91"/>
  <c r="J63" i="91" s="1"/>
  <c r="D12" i="91"/>
  <c r="F76" i="91" s="1"/>
  <c r="D6" i="91"/>
  <c r="D4" i="91"/>
  <c r="V39" i="88"/>
  <c r="V36" i="88"/>
  <c r="Z34" i="88"/>
  <c r="X34" i="88"/>
  <c r="V34" i="88"/>
  <c r="R34" i="88"/>
  <c r="N34" i="88"/>
  <c r="L34" i="88"/>
  <c r="V32" i="88"/>
  <c r="V30" i="88"/>
  <c r="T30" i="88"/>
  <c r="P30" i="88"/>
  <c r="H30" i="88"/>
  <c r="N30" i="88" s="1"/>
  <c r="D30" i="88"/>
  <c r="Z28" i="88"/>
  <c r="X28" i="88"/>
  <c r="V28" i="88"/>
  <c r="R28" i="88"/>
  <c r="N28" i="88"/>
  <c r="L28" i="88"/>
  <c r="J28" i="88"/>
  <c r="F28" i="88"/>
  <c r="B28" i="88"/>
  <c r="Z27" i="88"/>
  <c r="V27" i="88"/>
  <c r="T27" i="88"/>
  <c r="R27" i="88"/>
  <c r="P27" i="88"/>
  <c r="X27" i="88" s="1"/>
  <c r="J27" i="88"/>
  <c r="H27" i="88"/>
  <c r="N27" i="88" s="1"/>
  <c r="D27" i="88"/>
  <c r="B27" i="88"/>
  <c r="Z26" i="88"/>
  <c r="X26" i="88"/>
  <c r="V26" i="88"/>
  <c r="R26" i="88"/>
  <c r="N26" i="88"/>
  <c r="L26" i="88"/>
  <c r="B26" i="88"/>
  <c r="Z25" i="88"/>
  <c r="V25" i="88"/>
  <c r="T25" i="88"/>
  <c r="P25" i="88"/>
  <c r="X25" i="88" s="1"/>
  <c r="N25" i="88"/>
  <c r="J25" i="88"/>
  <c r="H25" i="88"/>
  <c r="D25" i="88"/>
  <c r="L25" i="88" s="1"/>
  <c r="B25" i="88"/>
  <c r="Z24" i="88"/>
  <c r="X24" i="88"/>
  <c r="V24" i="88"/>
  <c r="N24" i="88"/>
  <c r="L24" i="88"/>
  <c r="B24" i="88"/>
  <c r="Z23" i="88"/>
  <c r="X23" i="88"/>
  <c r="V23" i="88"/>
  <c r="T23" i="88"/>
  <c r="R23" i="88"/>
  <c r="P23" i="88"/>
  <c r="L23" i="88"/>
  <c r="J23" i="88"/>
  <c r="H23" i="88"/>
  <c r="N23" i="88" s="1"/>
  <c r="D23" i="88"/>
  <c r="B23" i="88"/>
  <c r="Z22" i="88"/>
  <c r="X22" i="88"/>
  <c r="V22" i="88"/>
  <c r="R22" i="88"/>
  <c r="L22" i="88"/>
  <c r="N22" i="88" s="1"/>
  <c r="J22" i="88"/>
  <c r="B22" i="88"/>
  <c r="V21" i="88"/>
  <c r="T21" i="88"/>
  <c r="R21" i="88"/>
  <c r="P21" i="88"/>
  <c r="N21" i="88"/>
  <c r="H21" i="88"/>
  <c r="D21" i="88"/>
  <c r="L21" i="88" s="1"/>
  <c r="B21" i="88"/>
  <c r="Z20" i="88"/>
  <c r="X20" i="88"/>
  <c r="V20" i="88"/>
  <c r="R20" i="88"/>
  <c r="N20" i="88"/>
  <c r="L20" i="88"/>
  <c r="B20" i="88"/>
  <c r="Z19" i="88"/>
  <c r="V19" i="88"/>
  <c r="T19" i="88"/>
  <c r="P19" i="88"/>
  <c r="X19" i="88" s="1"/>
  <c r="N19" i="88"/>
  <c r="J19" i="88"/>
  <c r="H19" i="88"/>
  <c r="D19" i="88"/>
  <c r="L19" i="88" s="1"/>
  <c r="B19" i="88"/>
  <c r="T18" i="88"/>
  <c r="X18" i="88" s="1"/>
  <c r="R18" i="88"/>
  <c r="P18" i="88"/>
  <c r="H18" i="88"/>
  <c r="D18" i="88"/>
  <c r="L18" i="88" s="1"/>
  <c r="N18" i="88" s="1"/>
  <c r="R16" i="88"/>
  <c r="P16" i="88"/>
  <c r="D16" i="88"/>
  <c r="X14" i="88"/>
  <c r="T14" i="88"/>
  <c r="Z14" i="88" s="1"/>
  <c r="R14" i="88"/>
  <c r="P14" i="88"/>
  <c r="N14" i="88"/>
  <c r="H14" i="88"/>
  <c r="D14" i="88"/>
  <c r="L14" i="88" s="1"/>
  <c r="Z12" i="88"/>
  <c r="X12" i="88"/>
  <c r="T12" i="88"/>
  <c r="V18" i="88" s="1"/>
  <c r="P12" i="88"/>
  <c r="R25" i="88" s="1"/>
  <c r="N12" i="88"/>
  <c r="H12" i="88"/>
  <c r="J34" i="88" s="1"/>
  <c r="D12" i="88"/>
  <c r="D6" i="88"/>
  <c r="D4" i="88"/>
  <c r="Z88" i="87"/>
  <c r="X88" i="87"/>
  <c r="N88" i="87"/>
  <c r="L88" i="87"/>
  <c r="J88" i="87"/>
  <c r="Z84" i="87"/>
  <c r="T84" i="87"/>
  <c r="P84" i="87"/>
  <c r="X84" i="87" s="1"/>
  <c r="H84" i="87"/>
  <c r="N84" i="87" s="1"/>
  <c r="D84" i="87"/>
  <c r="L84" i="87" s="1"/>
  <c r="Z82" i="87"/>
  <c r="X82" i="87"/>
  <c r="N82" i="87"/>
  <c r="L82" i="87"/>
  <c r="B82" i="87"/>
  <c r="Z81" i="87"/>
  <c r="X81" i="87"/>
  <c r="V81" i="87"/>
  <c r="T81" i="87"/>
  <c r="P81" i="87"/>
  <c r="N81" i="87"/>
  <c r="L81" i="87"/>
  <c r="H81" i="87"/>
  <c r="D81" i="87"/>
  <c r="B81" i="87"/>
  <c r="Z80" i="87"/>
  <c r="X80" i="87"/>
  <c r="N80" i="87"/>
  <c r="L80" i="87"/>
  <c r="B80" i="87"/>
  <c r="T79" i="87"/>
  <c r="Z79" i="87" s="1"/>
  <c r="P79" i="87"/>
  <c r="N79" i="87"/>
  <c r="H79" i="87"/>
  <c r="D79" i="87"/>
  <c r="L79" i="87" s="1"/>
  <c r="B79" i="87"/>
  <c r="Z78" i="87"/>
  <c r="X78" i="87"/>
  <c r="V78" i="87"/>
  <c r="N78" i="87"/>
  <c r="L78" i="87"/>
  <c r="B78" i="87"/>
  <c r="Z77" i="87"/>
  <c r="V77" i="87"/>
  <c r="T77" i="87"/>
  <c r="P77" i="87"/>
  <c r="X77" i="87" s="1"/>
  <c r="N77" i="87"/>
  <c r="J77" i="87"/>
  <c r="H77" i="87"/>
  <c r="D77" i="87"/>
  <c r="L77" i="87" s="1"/>
  <c r="B77" i="87"/>
  <c r="Z76" i="87"/>
  <c r="X76" i="87"/>
  <c r="N76" i="87"/>
  <c r="L76" i="87"/>
  <c r="B76" i="87"/>
  <c r="Z75" i="87"/>
  <c r="X75" i="87"/>
  <c r="V75" i="87"/>
  <c r="N75" i="87"/>
  <c r="L75" i="87"/>
  <c r="B75" i="87"/>
  <c r="Z74" i="87"/>
  <c r="X74" i="87"/>
  <c r="N74" i="87"/>
  <c r="L74" i="87"/>
  <c r="B74" i="87"/>
  <c r="Z73" i="87"/>
  <c r="X73" i="87"/>
  <c r="V73" i="87"/>
  <c r="N73" i="87"/>
  <c r="L73" i="87"/>
  <c r="B73" i="87"/>
  <c r="Z72" i="87"/>
  <c r="X72" i="87"/>
  <c r="N72" i="87"/>
  <c r="L72" i="87"/>
  <c r="B72" i="87"/>
  <c r="Z71" i="87"/>
  <c r="X71" i="87"/>
  <c r="V71" i="87"/>
  <c r="N71" i="87"/>
  <c r="L71" i="87"/>
  <c r="F71" i="87"/>
  <c r="B71" i="87"/>
  <c r="Z70" i="87"/>
  <c r="X70" i="87"/>
  <c r="N70" i="87"/>
  <c r="L70" i="87"/>
  <c r="B70" i="87"/>
  <c r="Z69" i="87"/>
  <c r="X69" i="87"/>
  <c r="V69" i="87"/>
  <c r="N69" i="87"/>
  <c r="L69" i="87"/>
  <c r="B69" i="87"/>
  <c r="Z68" i="87"/>
  <c r="X68" i="87"/>
  <c r="N68" i="87"/>
  <c r="L68" i="87"/>
  <c r="B68" i="87"/>
  <c r="Z67" i="87"/>
  <c r="X67" i="87"/>
  <c r="V67" i="87"/>
  <c r="T67" i="87"/>
  <c r="P67" i="87"/>
  <c r="N67" i="87"/>
  <c r="L67" i="87"/>
  <c r="H67" i="87"/>
  <c r="D67" i="87"/>
  <c r="B67" i="87"/>
  <c r="Z66" i="87"/>
  <c r="X66" i="87"/>
  <c r="N66" i="87"/>
  <c r="L66" i="87"/>
  <c r="B66" i="87"/>
  <c r="Z65" i="87"/>
  <c r="T65" i="87"/>
  <c r="P65" i="87"/>
  <c r="X65" i="87" s="1"/>
  <c r="H65" i="87"/>
  <c r="N65" i="87" s="1"/>
  <c r="D65" i="87"/>
  <c r="B65" i="87"/>
  <c r="Z64" i="87"/>
  <c r="X64" i="87"/>
  <c r="V64" i="87"/>
  <c r="N64" i="87"/>
  <c r="L64" i="87"/>
  <c r="B64" i="87"/>
  <c r="Z63" i="87"/>
  <c r="X63" i="87"/>
  <c r="V63" i="87"/>
  <c r="N63" i="87"/>
  <c r="L63" i="87"/>
  <c r="B63" i="87"/>
  <c r="Z62" i="87"/>
  <c r="X62" i="87"/>
  <c r="V62" i="87"/>
  <c r="N62" i="87"/>
  <c r="L62" i="87"/>
  <c r="B62" i="87"/>
  <c r="Z61" i="87"/>
  <c r="X61" i="87"/>
  <c r="V61" i="87"/>
  <c r="N61" i="87"/>
  <c r="L61" i="87"/>
  <c r="B61" i="87"/>
  <c r="V60" i="87"/>
  <c r="T60" i="87"/>
  <c r="Z60" i="87" s="1"/>
  <c r="P60" i="87"/>
  <c r="X60" i="87" s="1"/>
  <c r="H60" i="87"/>
  <c r="D60" i="87"/>
  <c r="B60" i="87"/>
  <c r="Z59" i="87"/>
  <c r="X59" i="87"/>
  <c r="V59" i="87"/>
  <c r="N59" i="87"/>
  <c r="L59" i="87"/>
  <c r="B59" i="87"/>
  <c r="Z58" i="87"/>
  <c r="X58" i="87"/>
  <c r="T58" i="87"/>
  <c r="P58" i="87"/>
  <c r="H58" i="87"/>
  <c r="N58" i="87" s="1"/>
  <c r="D58" i="87"/>
  <c r="B58" i="87"/>
  <c r="Z57" i="87"/>
  <c r="X57" i="87"/>
  <c r="N57" i="87"/>
  <c r="L57" i="87"/>
  <c r="B57" i="87"/>
  <c r="Z56" i="87"/>
  <c r="X56" i="87"/>
  <c r="N56" i="87"/>
  <c r="L56" i="87"/>
  <c r="B56" i="87"/>
  <c r="Z55" i="87"/>
  <c r="V55" i="87"/>
  <c r="T55" i="87"/>
  <c r="P55" i="87"/>
  <c r="X55" i="87" s="1"/>
  <c r="H55" i="87"/>
  <c r="N55" i="87" s="1"/>
  <c r="D55" i="87"/>
  <c r="L55" i="87" s="1"/>
  <c r="B55" i="87"/>
  <c r="X54" i="87"/>
  <c r="Z54" i="87" s="1"/>
  <c r="V54" i="87"/>
  <c r="L54" i="87"/>
  <c r="N54" i="87" s="1"/>
  <c r="B54" i="87"/>
  <c r="Z53" i="87"/>
  <c r="V53" i="87"/>
  <c r="T53" i="87"/>
  <c r="P53" i="87"/>
  <c r="X53" i="87" s="1"/>
  <c r="N53" i="87"/>
  <c r="H53" i="87"/>
  <c r="D53" i="87"/>
  <c r="L53" i="87" s="1"/>
  <c r="B53" i="87"/>
  <c r="Z52" i="87"/>
  <c r="X52" i="87"/>
  <c r="N52" i="87"/>
  <c r="L52" i="87"/>
  <c r="B52" i="87"/>
  <c r="X51" i="87"/>
  <c r="V51" i="87"/>
  <c r="T51" i="87"/>
  <c r="Z51" i="87" s="1"/>
  <c r="P51" i="87"/>
  <c r="N51" i="87"/>
  <c r="L51" i="87"/>
  <c r="H51" i="87"/>
  <c r="D51" i="87"/>
  <c r="B51" i="87"/>
  <c r="X50" i="87"/>
  <c r="Z50" i="87" s="1"/>
  <c r="L50" i="87"/>
  <c r="N50" i="87" s="1"/>
  <c r="J50" i="87"/>
  <c r="B50" i="87"/>
  <c r="T49" i="87"/>
  <c r="P49" i="87"/>
  <c r="X49" i="87" s="1"/>
  <c r="H49" i="87"/>
  <c r="D49" i="87"/>
  <c r="B49" i="87"/>
  <c r="X48" i="87"/>
  <c r="Z48" i="87" s="1"/>
  <c r="V48" i="87"/>
  <c r="L48" i="87"/>
  <c r="N48" i="87" s="1"/>
  <c r="B48" i="87"/>
  <c r="Z47" i="87"/>
  <c r="X47" i="87"/>
  <c r="V47" i="87"/>
  <c r="N47" i="87"/>
  <c r="L47" i="87"/>
  <c r="B47" i="87"/>
  <c r="V46" i="87"/>
  <c r="T46" i="87"/>
  <c r="P46" i="87"/>
  <c r="X46" i="87" s="1"/>
  <c r="H46" i="87"/>
  <c r="D46" i="87"/>
  <c r="L46" i="87" s="1"/>
  <c r="B46" i="87"/>
  <c r="Z45" i="87"/>
  <c r="X45" i="87"/>
  <c r="V45" i="87"/>
  <c r="N45" i="87"/>
  <c r="L45" i="87"/>
  <c r="B45" i="87"/>
  <c r="T44" i="87"/>
  <c r="Z44" i="87" s="1"/>
  <c r="P44" i="87"/>
  <c r="N44" i="87"/>
  <c r="L44" i="87"/>
  <c r="H44" i="87"/>
  <c r="F44" i="87"/>
  <c r="D44" i="87"/>
  <c r="B44" i="87"/>
  <c r="Z43" i="87"/>
  <c r="X43" i="87"/>
  <c r="V43" i="87"/>
  <c r="N43" i="87"/>
  <c r="L43" i="87"/>
  <c r="B43" i="87"/>
  <c r="Z42" i="87"/>
  <c r="X42" i="87"/>
  <c r="T42" i="87"/>
  <c r="P42" i="87"/>
  <c r="H42" i="87"/>
  <c r="N42" i="87" s="1"/>
  <c r="D42" i="87"/>
  <c r="B42" i="87"/>
  <c r="Z41" i="87"/>
  <c r="X41" i="87"/>
  <c r="V41" i="87"/>
  <c r="N41" i="87"/>
  <c r="L41" i="87"/>
  <c r="B41" i="87"/>
  <c r="Z40" i="87"/>
  <c r="X40" i="87"/>
  <c r="V40" i="87"/>
  <c r="N40" i="87"/>
  <c r="L40" i="87"/>
  <c r="B40" i="87"/>
  <c r="Z39" i="87"/>
  <c r="X39" i="87"/>
  <c r="V39" i="87"/>
  <c r="N39" i="87"/>
  <c r="L39" i="87"/>
  <c r="B39" i="87"/>
  <c r="Z38" i="87"/>
  <c r="X38" i="87"/>
  <c r="V38" i="87"/>
  <c r="N38" i="87"/>
  <c r="L38" i="87"/>
  <c r="B38" i="87"/>
  <c r="Z37" i="87"/>
  <c r="X37" i="87"/>
  <c r="V37" i="87"/>
  <c r="N37" i="87"/>
  <c r="L37" i="87"/>
  <c r="B37" i="87"/>
  <c r="Z36" i="87"/>
  <c r="X36" i="87"/>
  <c r="V36" i="87"/>
  <c r="N36" i="87"/>
  <c r="L36" i="87"/>
  <c r="B36" i="87"/>
  <c r="Z35" i="87"/>
  <c r="X35" i="87"/>
  <c r="V35" i="87"/>
  <c r="N35" i="87"/>
  <c r="L35" i="87"/>
  <c r="B35" i="87"/>
  <c r="Z34" i="87"/>
  <c r="X34" i="87"/>
  <c r="V34" i="87"/>
  <c r="N34" i="87"/>
  <c r="L34" i="87"/>
  <c r="B34" i="87"/>
  <c r="Z33" i="87"/>
  <c r="X33" i="87"/>
  <c r="V33" i="87"/>
  <c r="N33" i="87"/>
  <c r="L33" i="87"/>
  <c r="B33" i="87"/>
  <c r="Z32" i="87"/>
  <c r="X32" i="87"/>
  <c r="V32" i="87"/>
  <c r="N32" i="87"/>
  <c r="L32" i="87"/>
  <c r="B32" i="87"/>
  <c r="Z31" i="87"/>
  <c r="V31" i="87"/>
  <c r="T31" i="87"/>
  <c r="P31" i="87"/>
  <c r="X31" i="87" s="1"/>
  <c r="N31" i="87"/>
  <c r="H31" i="87"/>
  <c r="D31" i="87"/>
  <c r="L31" i="87" s="1"/>
  <c r="B31" i="87"/>
  <c r="Z30" i="87"/>
  <c r="X30" i="87"/>
  <c r="N30" i="87"/>
  <c r="L30" i="87"/>
  <c r="B30" i="87"/>
  <c r="Z29" i="87"/>
  <c r="X29" i="87"/>
  <c r="V29" i="87"/>
  <c r="N29" i="87"/>
  <c r="L29" i="87"/>
  <c r="B29" i="87"/>
  <c r="Z28" i="87"/>
  <c r="X28" i="87"/>
  <c r="N28" i="87"/>
  <c r="L28" i="87"/>
  <c r="B28" i="87"/>
  <c r="Z27" i="87"/>
  <c r="X27" i="87"/>
  <c r="V27" i="87"/>
  <c r="N27" i="87"/>
  <c r="L27" i="87"/>
  <c r="B27" i="87"/>
  <c r="Z26" i="87"/>
  <c r="X26" i="87"/>
  <c r="N26" i="87"/>
  <c r="L26" i="87"/>
  <c r="B26" i="87"/>
  <c r="Z25" i="87"/>
  <c r="X25" i="87"/>
  <c r="V25" i="87"/>
  <c r="N25" i="87"/>
  <c r="L25" i="87"/>
  <c r="B25" i="87"/>
  <c r="Z24" i="87"/>
  <c r="X24" i="87"/>
  <c r="N24" i="87"/>
  <c r="L24" i="87"/>
  <c r="B24" i="87"/>
  <c r="Z23" i="87"/>
  <c r="X23" i="87"/>
  <c r="V23" i="87"/>
  <c r="N23" i="87"/>
  <c r="L23" i="87"/>
  <c r="B23" i="87"/>
  <c r="Z22" i="87"/>
  <c r="X22" i="87"/>
  <c r="T22" i="87"/>
  <c r="P22" i="87"/>
  <c r="L22" i="87"/>
  <c r="H22" i="87"/>
  <c r="N22" i="87" s="1"/>
  <c r="D22" i="87"/>
  <c r="B22" i="87"/>
  <c r="T21" i="87"/>
  <c r="P21" i="87"/>
  <c r="X21" i="87" s="1"/>
  <c r="H21" i="87"/>
  <c r="D21" i="87"/>
  <c r="L21" i="87" s="1"/>
  <c r="N21" i="87" s="1"/>
  <c r="Z17" i="87"/>
  <c r="X17" i="87"/>
  <c r="N17" i="87"/>
  <c r="L17" i="87"/>
  <c r="B17" i="87"/>
  <c r="V16" i="87"/>
  <c r="T16" i="87"/>
  <c r="T19" i="87" s="1"/>
  <c r="P16" i="87"/>
  <c r="N16" i="87"/>
  <c r="L16" i="87"/>
  <c r="J16" i="87"/>
  <c r="H16" i="87"/>
  <c r="D16" i="87"/>
  <c r="Z14" i="87"/>
  <c r="P14" i="87"/>
  <c r="X14" i="87" s="1"/>
  <c r="N14" i="87"/>
  <c r="D14" i="87"/>
  <c r="L14" i="87" s="1"/>
  <c r="B14" i="87"/>
  <c r="Z13" i="87"/>
  <c r="P13" i="87"/>
  <c r="N13" i="87"/>
  <c r="D13" i="87"/>
  <c r="D12" i="87" s="1"/>
  <c r="B13" i="87"/>
  <c r="Z12" i="87"/>
  <c r="T12" i="87"/>
  <c r="V86" i="87" s="1"/>
  <c r="H12" i="87"/>
  <c r="J47" i="87" s="1"/>
  <c r="D6" i="87"/>
  <c r="D4" i="87"/>
  <c r="X30" i="85"/>
  <c r="Z30" i="85" s="1"/>
  <c r="L30" i="85"/>
  <c r="N30" i="85" s="1"/>
  <c r="Z26" i="85"/>
  <c r="T26" i="85"/>
  <c r="P26" i="85"/>
  <c r="X26" i="85" s="1"/>
  <c r="H26" i="85"/>
  <c r="N26" i="85" s="1"/>
  <c r="D26" i="85"/>
  <c r="L26" i="85" s="1"/>
  <c r="Z24" i="85"/>
  <c r="X24" i="85"/>
  <c r="L24" i="85"/>
  <c r="N24" i="85" s="1"/>
  <c r="J24" i="85"/>
  <c r="B24" i="85"/>
  <c r="T23" i="85"/>
  <c r="P23" i="85"/>
  <c r="H23" i="85"/>
  <c r="D23" i="85"/>
  <c r="B23" i="85"/>
  <c r="X22" i="85"/>
  <c r="Z22" i="85" s="1"/>
  <c r="V22" i="85"/>
  <c r="T22" i="85"/>
  <c r="P22" i="85"/>
  <c r="L22" i="85"/>
  <c r="N22" i="85" s="1"/>
  <c r="H22" i="85"/>
  <c r="D22" i="85"/>
  <c r="Z18" i="85"/>
  <c r="X18" i="85"/>
  <c r="N18" i="85"/>
  <c r="L18" i="85"/>
  <c r="B18" i="85"/>
  <c r="X17" i="85"/>
  <c r="Z17" i="85" s="1"/>
  <c r="L17" i="85"/>
  <c r="N17" i="85" s="1"/>
  <c r="B17" i="85"/>
  <c r="X16" i="85"/>
  <c r="Z16" i="85" s="1"/>
  <c r="V16" i="85"/>
  <c r="T16" i="85"/>
  <c r="P16" i="85"/>
  <c r="L16" i="85"/>
  <c r="N16" i="85" s="1"/>
  <c r="H16" i="85"/>
  <c r="D16" i="85"/>
  <c r="Z14" i="85"/>
  <c r="P14" i="85"/>
  <c r="X14" i="85" s="1"/>
  <c r="N14" i="85"/>
  <c r="D14" i="85"/>
  <c r="L14" i="85" s="1"/>
  <c r="B14" i="85"/>
  <c r="X13" i="85"/>
  <c r="Z13" i="85" s="1"/>
  <c r="P13" i="85"/>
  <c r="D13" i="85"/>
  <c r="B13" i="85"/>
  <c r="T12" i="85"/>
  <c r="V18" i="85" s="1"/>
  <c r="H12" i="85"/>
  <c r="D6" i="85"/>
  <c r="D4" i="85"/>
  <c r="X119" i="84"/>
  <c r="Z119" i="84" s="1"/>
  <c r="V119" i="84"/>
  <c r="N119" i="84"/>
  <c r="L119" i="84"/>
  <c r="Z115" i="84"/>
  <c r="T115" i="84"/>
  <c r="P115" i="84"/>
  <c r="X115" i="84" s="1"/>
  <c r="H115" i="84"/>
  <c r="N115" i="84" s="1"/>
  <c r="D115" i="84"/>
  <c r="Z113" i="84"/>
  <c r="X113" i="84"/>
  <c r="L113" i="84"/>
  <c r="N113" i="84" s="1"/>
  <c r="B113" i="84"/>
  <c r="T112" i="84"/>
  <c r="Z112" i="84" s="1"/>
  <c r="P112" i="84"/>
  <c r="X112" i="84" s="1"/>
  <c r="H112" i="84"/>
  <c r="D112" i="84"/>
  <c r="L112" i="84" s="1"/>
  <c r="B112" i="84"/>
  <c r="X111" i="84"/>
  <c r="Z111" i="84" s="1"/>
  <c r="L111" i="84"/>
  <c r="N111" i="84" s="1"/>
  <c r="B111" i="84"/>
  <c r="Z110" i="84"/>
  <c r="X110" i="84"/>
  <c r="N110" i="84"/>
  <c r="L110" i="84"/>
  <c r="B110" i="84"/>
  <c r="X109" i="84"/>
  <c r="Z109" i="84" s="1"/>
  <c r="T109" i="84"/>
  <c r="P109" i="84"/>
  <c r="H109" i="84"/>
  <c r="D109" i="84"/>
  <c r="L109" i="84" s="1"/>
  <c r="N109" i="84" s="1"/>
  <c r="B109" i="84"/>
  <c r="Z108" i="84"/>
  <c r="X108" i="84"/>
  <c r="N108" i="84"/>
  <c r="L108" i="84"/>
  <c r="B108" i="84"/>
  <c r="T107" i="84"/>
  <c r="Z107" i="84" s="1"/>
  <c r="P107" i="84"/>
  <c r="N107" i="84"/>
  <c r="L107" i="84"/>
  <c r="H107" i="84"/>
  <c r="D107" i="84"/>
  <c r="B107" i="84"/>
  <c r="Z106" i="84"/>
  <c r="X106" i="84"/>
  <c r="N106" i="84"/>
  <c r="L106" i="84"/>
  <c r="B106" i="84"/>
  <c r="Z105" i="84"/>
  <c r="X105" i="84"/>
  <c r="L105" i="84"/>
  <c r="N105" i="84" s="1"/>
  <c r="B105" i="84"/>
  <c r="T104" i="84"/>
  <c r="P104" i="84"/>
  <c r="H104" i="84"/>
  <c r="N104" i="84" s="1"/>
  <c r="D104" i="84"/>
  <c r="L104" i="84" s="1"/>
  <c r="B104" i="84"/>
  <c r="X103" i="84"/>
  <c r="Z103" i="84" s="1"/>
  <c r="L103" i="84"/>
  <c r="N103" i="84" s="1"/>
  <c r="B103" i="84"/>
  <c r="X102" i="84"/>
  <c r="Z102" i="84" s="1"/>
  <c r="N102" i="84"/>
  <c r="L102" i="84"/>
  <c r="B102" i="84"/>
  <c r="X101" i="84"/>
  <c r="Z101" i="84" s="1"/>
  <c r="V101" i="84"/>
  <c r="L101" i="84"/>
  <c r="N101" i="84" s="1"/>
  <c r="B101" i="84"/>
  <c r="X100" i="84"/>
  <c r="Z100" i="84" s="1"/>
  <c r="L100" i="84"/>
  <c r="N100" i="84" s="1"/>
  <c r="B100" i="84"/>
  <c r="X99" i="84"/>
  <c r="Z99" i="84" s="1"/>
  <c r="V99" i="84"/>
  <c r="L99" i="84"/>
  <c r="N99" i="84" s="1"/>
  <c r="B99" i="84"/>
  <c r="Z98" i="84"/>
  <c r="X98" i="84"/>
  <c r="N98" i="84"/>
  <c r="L98" i="84"/>
  <c r="B98" i="84"/>
  <c r="X97" i="84"/>
  <c r="Z97" i="84" s="1"/>
  <c r="V97" i="84"/>
  <c r="T97" i="84"/>
  <c r="P97" i="84"/>
  <c r="L97" i="84"/>
  <c r="H97" i="84"/>
  <c r="D97" i="84"/>
  <c r="B97" i="84"/>
  <c r="Z96" i="84"/>
  <c r="X96" i="84"/>
  <c r="N96" i="84"/>
  <c r="L96" i="84"/>
  <c r="B96" i="84"/>
  <c r="X95" i="84"/>
  <c r="Z95" i="84" s="1"/>
  <c r="N95" i="84"/>
  <c r="L95" i="84"/>
  <c r="B95" i="84"/>
  <c r="Z94" i="84"/>
  <c r="X94" i="84"/>
  <c r="T94" i="84"/>
  <c r="P94" i="84"/>
  <c r="L94" i="84"/>
  <c r="H94" i="84"/>
  <c r="N94" i="84" s="1"/>
  <c r="D94" i="84"/>
  <c r="B94" i="84"/>
  <c r="Z93" i="84"/>
  <c r="X93" i="84"/>
  <c r="L93" i="84"/>
  <c r="N93" i="84" s="1"/>
  <c r="B93" i="84"/>
  <c r="Z92" i="84"/>
  <c r="X92" i="84"/>
  <c r="L92" i="84"/>
  <c r="N92" i="84" s="1"/>
  <c r="B92" i="84"/>
  <c r="Z91" i="84"/>
  <c r="X91" i="84"/>
  <c r="N91" i="84"/>
  <c r="L91" i="84"/>
  <c r="B91" i="84"/>
  <c r="X90" i="84"/>
  <c r="Z90" i="84" s="1"/>
  <c r="V90" i="84"/>
  <c r="T90" i="84"/>
  <c r="P90" i="84"/>
  <c r="N90" i="84"/>
  <c r="H90" i="84"/>
  <c r="D90" i="84"/>
  <c r="L90" i="84" s="1"/>
  <c r="B90" i="84"/>
  <c r="X89" i="84"/>
  <c r="Z89" i="84" s="1"/>
  <c r="L89" i="84"/>
  <c r="N89" i="84" s="1"/>
  <c r="B89" i="84"/>
  <c r="Z88" i="84"/>
  <c r="X88" i="84"/>
  <c r="N88" i="84"/>
  <c r="L88" i="84"/>
  <c r="B88" i="84"/>
  <c r="X87" i="84"/>
  <c r="V87" i="84"/>
  <c r="T87" i="84"/>
  <c r="P87" i="84"/>
  <c r="H87" i="84"/>
  <c r="D87" i="84"/>
  <c r="L87" i="84" s="1"/>
  <c r="N87" i="84" s="1"/>
  <c r="B87" i="84"/>
  <c r="X86" i="84"/>
  <c r="Z86" i="84" s="1"/>
  <c r="N86" i="84"/>
  <c r="L86" i="84"/>
  <c r="B86" i="84"/>
  <c r="X85" i="84"/>
  <c r="T85" i="84"/>
  <c r="Z85" i="84" s="1"/>
  <c r="P85" i="84"/>
  <c r="H85" i="84"/>
  <c r="D85" i="84"/>
  <c r="B85" i="84"/>
  <c r="Z84" i="84"/>
  <c r="X84" i="84"/>
  <c r="N84" i="84"/>
  <c r="L84" i="84"/>
  <c r="B84" i="84"/>
  <c r="T83" i="84"/>
  <c r="P83" i="84"/>
  <c r="H83" i="84"/>
  <c r="N83" i="84" s="1"/>
  <c r="D83" i="84"/>
  <c r="B83" i="84"/>
  <c r="X82" i="84"/>
  <c r="Z82" i="84" s="1"/>
  <c r="V82" i="84"/>
  <c r="N82" i="84"/>
  <c r="L82" i="84"/>
  <c r="B82" i="84"/>
  <c r="T81" i="84"/>
  <c r="P81" i="84"/>
  <c r="X81" i="84" s="1"/>
  <c r="Z81" i="84" s="1"/>
  <c r="H81" i="84"/>
  <c r="D81" i="84"/>
  <c r="L81" i="84" s="1"/>
  <c r="B81" i="84"/>
  <c r="X80" i="84"/>
  <c r="Z80" i="84" s="1"/>
  <c r="N80" i="84"/>
  <c r="L80" i="84"/>
  <c r="B80" i="84"/>
  <c r="T79" i="84"/>
  <c r="P79" i="84"/>
  <c r="N79" i="84"/>
  <c r="L79" i="84"/>
  <c r="H79" i="84"/>
  <c r="D79" i="84"/>
  <c r="B79" i="84"/>
  <c r="X78" i="84"/>
  <c r="Z78" i="84" s="1"/>
  <c r="V78" i="84"/>
  <c r="L78" i="84"/>
  <c r="N78" i="84" s="1"/>
  <c r="B78" i="84"/>
  <c r="Z77" i="84"/>
  <c r="X77" i="84"/>
  <c r="N77" i="84"/>
  <c r="L77" i="84"/>
  <c r="B77" i="84"/>
  <c r="Z76" i="84"/>
  <c r="V76" i="84"/>
  <c r="T76" i="84"/>
  <c r="P76" i="84"/>
  <c r="X76" i="84" s="1"/>
  <c r="H76" i="84"/>
  <c r="D76" i="84"/>
  <c r="L76" i="84" s="1"/>
  <c r="N76" i="84" s="1"/>
  <c r="B76" i="84"/>
  <c r="X75" i="84"/>
  <c r="Z75" i="84" s="1"/>
  <c r="L75" i="84"/>
  <c r="N75" i="84" s="1"/>
  <c r="B75" i="84"/>
  <c r="X74" i="84"/>
  <c r="Z74" i="84" s="1"/>
  <c r="T74" i="84"/>
  <c r="P74" i="84"/>
  <c r="H74" i="84"/>
  <c r="D74" i="84"/>
  <c r="L74" i="84" s="1"/>
  <c r="B74" i="84"/>
  <c r="Z73" i="84"/>
  <c r="X73" i="84"/>
  <c r="N73" i="84"/>
  <c r="L73" i="84"/>
  <c r="B73" i="84"/>
  <c r="T72" i="84"/>
  <c r="Z72" i="84" s="1"/>
  <c r="P72" i="84"/>
  <c r="N72" i="84"/>
  <c r="L72" i="84"/>
  <c r="H72" i="84"/>
  <c r="D72" i="84"/>
  <c r="B72" i="84"/>
  <c r="Z71" i="84"/>
  <c r="X71" i="84"/>
  <c r="L71" i="84"/>
  <c r="N71" i="84" s="1"/>
  <c r="J71" i="84"/>
  <c r="B71" i="84"/>
  <c r="X70" i="84"/>
  <c r="Z70" i="84" s="1"/>
  <c r="T70" i="84"/>
  <c r="P70" i="84"/>
  <c r="H70" i="84"/>
  <c r="N70" i="84" s="1"/>
  <c r="D70" i="84"/>
  <c r="L70" i="84" s="1"/>
  <c r="B70" i="84"/>
  <c r="Z69" i="84"/>
  <c r="X69" i="84"/>
  <c r="N69" i="84"/>
  <c r="L69" i="84"/>
  <c r="B69" i="84"/>
  <c r="T68" i="84"/>
  <c r="P68" i="84"/>
  <c r="X68" i="84" s="1"/>
  <c r="L68" i="84"/>
  <c r="N68" i="84" s="1"/>
  <c r="J68" i="84"/>
  <c r="H68" i="84"/>
  <c r="D68" i="84"/>
  <c r="B68" i="84"/>
  <c r="X67" i="84"/>
  <c r="Z67" i="84" s="1"/>
  <c r="N67" i="84"/>
  <c r="L67" i="84"/>
  <c r="B67" i="84"/>
  <c r="X66" i="84"/>
  <c r="Z66" i="84" s="1"/>
  <c r="T66" i="84"/>
  <c r="P66" i="84"/>
  <c r="H66" i="84"/>
  <c r="D66" i="84"/>
  <c r="B66" i="84"/>
  <c r="Z65" i="84"/>
  <c r="X65" i="84"/>
  <c r="N65" i="84"/>
  <c r="L65" i="84"/>
  <c r="B65" i="84"/>
  <c r="T64" i="84"/>
  <c r="Z64" i="84" s="1"/>
  <c r="P64" i="84"/>
  <c r="X64" i="84" s="1"/>
  <c r="L64" i="84"/>
  <c r="N64" i="84" s="1"/>
  <c r="H64" i="84"/>
  <c r="D64" i="84"/>
  <c r="B64" i="84"/>
  <c r="Z63" i="84"/>
  <c r="X63" i="84"/>
  <c r="N63" i="84"/>
  <c r="L63" i="84"/>
  <c r="B63" i="84"/>
  <c r="Z62" i="84"/>
  <c r="X62" i="84"/>
  <c r="N62" i="84"/>
  <c r="L62" i="84"/>
  <c r="B62" i="84"/>
  <c r="X61" i="84"/>
  <c r="Z61" i="84" s="1"/>
  <c r="L61" i="84"/>
  <c r="N61" i="84" s="1"/>
  <c r="B61" i="84"/>
  <c r="X60" i="84"/>
  <c r="Z60" i="84" s="1"/>
  <c r="N60" i="84"/>
  <c r="L60" i="84"/>
  <c r="B60" i="84"/>
  <c r="Z59" i="84"/>
  <c r="X59" i="84"/>
  <c r="V59" i="84"/>
  <c r="N59" i="84"/>
  <c r="L59" i="84"/>
  <c r="B59" i="84"/>
  <c r="Z58" i="84"/>
  <c r="X58" i="84"/>
  <c r="N58" i="84"/>
  <c r="L58" i="84"/>
  <c r="B58" i="84"/>
  <c r="X57" i="84"/>
  <c r="Z57" i="84" s="1"/>
  <c r="L57" i="84"/>
  <c r="N57" i="84" s="1"/>
  <c r="B57" i="84"/>
  <c r="Z56" i="84"/>
  <c r="X56" i="84"/>
  <c r="N56" i="84"/>
  <c r="L56" i="84"/>
  <c r="B56" i="84"/>
  <c r="X55" i="84"/>
  <c r="Z55" i="84" s="1"/>
  <c r="L55" i="84"/>
  <c r="N55" i="84" s="1"/>
  <c r="B55" i="84"/>
  <c r="Z54" i="84"/>
  <c r="X54" i="84"/>
  <c r="V54" i="84"/>
  <c r="N54" i="84"/>
  <c r="L54" i="84"/>
  <c r="B54" i="84"/>
  <c r="X53" i="84"/>
  <c r="Z53" i="84" s="1"/>
  <c r="T53" i="84"/>
  <c r="P53" i="84"/>
  <c r="H53" i="84"/>
  <c r="D53" i="84"/>
  <c r="L53" i="84" s="1"/>
  <c r="B53" i="84"/>
  <c r="X52" i="84"/>
  <c r="Z52" i="84" s="1"/>
  <c r="N52" i="84"/>
  <c r="L52" i="84"/>
  <c r="B52" i="84"/>
  <c r="X51" i="84"/>
  <c r="Z51" i="84" s="1"/>
  <c r="V51" i="84"/>
  <c r="N51" i="84"/>
  <c r="L51" i="84"/>
  <c r="B51" i="84"/>
  <c r="X50" i="84"/>
  <c r="Z50" i="84" s="1"/>
  <c r="L50" i="84"/>
  <c r="N50" i="84" s="1"/>
  <c r="B50" i="84"/>
  <c r="Z49" i="84"/>
  <c r="X49" i="84"/>
  <c r="N49" i="84"/>
  <c r="L49" i="84"/>
  <c r="B49" i="84"/>
  <c r="X48" i="84"/>
  <c r="Z48" i="84" s="1"/>
  <c r="N48" i="84"/>
  <c r="L48" i="84"/>
  <c r="B48" i="84"/>
  <c r="X47" i="84"/>
  <c r="Z47" i="84" s="1"/>
  <c r="N47" i="84"/>
  <c r="L47" i="84"/>
  <c r="B47" i="84"/>
  <c r="X46" i="84"/>
  <c r="Z46" i="84" s="1"/>
  <c r="L46" i="84"/>
  <c r="N46" i="84" s="1"/>
  <c r="B46" i="84"/>
  <c r="X45" i="84"/>
  <c r="Z45" i="84" s="1"/>
  <c r="N45" i="84"/>
  <c r="L45" i="84"/>
  <c r="B45" i="84"/>
  <c r="Z44" i="84"/>
  <c r="X44" i="84"/>
  <c r="N44" i="84"/>
  <c r="L44" i="84"/>
  <c r="B44" i="84"/>
  <c r="X43" i="84"/>
  <c r="Z43" i="84" s="1"/>
  <c r="T43" i="84"/>
  <c r="P43" i="84"/>
  <c r="L43" i="84"/>
  <c r="H43" i="84"/>
  <c r="N43" i="84" s="1"/>
  <c r="D43" i="84"/>
  <c r="B43" i="84"/>
  <c r="X42" i="84"/>
  <c r="Z42" i="84" s="1"/>
  <c r="T42" i="84"/>
  <c r="P42" i="84"/>
  <c r="H42" i="84"/>
  <c r="D42" i="84"/>
  <c r="L42" i="84" s="1"/>
  <c r="Z38" i="84"/>
  <c r="X38" i="84"/>
  <c r="V38" i="84"/>
  <c r="N38" i="84"/>
  <c r="L38" i="84"/>
  <c r="B38" i="84"/>
  <c r="Z37" i="84"/>
  <c r="X37" i="84"/>
  <c r="N37" i="84"/>
  <c r="L37" i="84"/>
  <c r="B37" i="84"/>
  <c r="Z36" i="84"/>
  <c r="X36" i="84"/>
  <c r="N36" i="84"/>
  <c r="L36" i="84"/>
  <c r="B36" i="84"/>
  <c r="Z35" i="84"/>
  <c r="X35" i="84"/>
  <c r="N35" i="84"/>
  <c r="L35" i="84"/>
  <c r="B35" i="84"/>
  <c r="X34" i="84"/>
  <c r="Z34" i="84" s="1"/>
  <c r="V34" i="84"/>
  <c r="N34" i="84"/>
  <c r="L34" i="84"/>
  <c r="B34" i="84"/>
  <c r="T33" i="84"/>
  <c r="P33" i="84"/>
  <c r="X33" i="84" s="1"/>
  <c r="L33" i="84"/>
  <c r="N33" i="84" s="1"/>
  <c r="H33" i="84"/>
  <c r="D33" i="84"/>
  <c r="Z31" i="84"/>
  <c r="P31" i="84"/>
  <c r="X31" i="84" s="1"/>
  <c r="N31" i="84"/>
  <c r="D31" i="84"/>
  <c r="L31" i="84" s="1"/>
  <c r="B31" i="84"/>
  <c r="Z30" i="84"/>
  <c r="P30" i="84"/>
  <c r="X30" i="84" s="1"/>
  <c r="N30" i="84"/>
  <c r="L30" i="84"/>
  <c r="D30" i="84"/>
  <c r="B30" i="84"/>
  <c r="Z29" i="84"/>
  <c r="P29" i="84"/>
  <c r="X29" i="84" s="1"/>
  <c r="N29" i="84"/>
  <c r="D29" i="84"/>
  <c r="L29" i="84" s="1"/>
  <c r="B29" i="84"/>
  <c r="Z28" i="84"/>
  <c r="X28" i="84"/>
  <c r="P28" i="84"/>
  <c r="N28" i="84"/>
  <c r="D28" i="84"/>
  <c r="L28" i="84" s="1"/>
  <c r="B28" i="84"/>
  <c r="Z27" i="84"/>
  <c r="P27" i="84"/>
  <c r="X27" i="84" s="1"/>
  <c r="N27" i="84"/>
  <c r="D27" i="84"/>
  <c r="L27" i="84" s="1"/>
  <c r="B27" i="84"/>
  <c r="Z26" i="84"/>
  <c r="P26" i="84"/>
  <c r="X26" i="84" s="1"/>
  <c r="N26" i="84"/>
  <c r="D26" i="84"/>
  <c r="L26" i="84" s="1"/>
  <c r="B26" i="84"/>
  <c r="Z25" i="84"/>
  <c r="X25" i="84"/>
  <c r="P25" i="84"/>
  <c r="N25" i="84"/>
  <c r="L25" i="84"/>
  <c r="D25" i="84"/>
  <c r="B25" i="84"/>
  <c r="Z24" i="84"/>
  <c r="X24" i="84"/>
  <c r="P24" i="84"/>
  <c r="N24" i="84"/>
  <c r="D24" i="84"/>
  <c r="L24" i="84" s="1"/>
  <c r="B24" i="84"/>
  <c r="Z23" i="84"/>
  <c r="P23" i="84"/>
  <c r="X23" i="84" s="1"/>
  <c r="N23" i="84"/>
  <c r="D23" i="84"/>
  <c r="L23" i="84" s="1"/>
  <c r="B23" i="84"/>
  <c r="Z22" i="84"/>
  <c r="P22" i="84"/>
  <c r="X22" i="84" s="1"/>
  <c r="N22" i="84"/>
  <c r="L22" i="84"/>
  <c r="D22" i="84"/>
  <c r="B22" i="84"/>
  <c r="Z21" i="84"/>
  <c r="X21" i="84"/>
  <c r="P21" i="84"/>
  <c r="N21" i="84"/>
  <c r="L21" i="84"/>
  <c r="D21" i="84"/>
  <c r="B21" i="84"/>
  <c r="Z20" i="84"/>
  <c r="P20" i="84"/>
  <c r="X20" i="84" s="1"/>
  <c r="N20" i="84"/>
  <c r="D20" i="84"/>
  <c r="L20" i="84" s="1"/>
  <c r="B20" i="84"/>
  <c r="Z19" i="84"/>
  <c r="P19" i="84"/>
  <c r="X19" i="84" s="1"/>
  <c r="N19" i="84"/>
  <c r="D19" i="84"/>
  <c r="L19" i="84" s="1"/>
  <c r="B19" i="84"/>
  <c r="Z18" i="84"/>
  <c r="P18" i="84"/>
  <c r="X18" i="84" s="1"/>
  <c r="N18" i="84"/>
  <c r="L18" i="84"/>
  <c r="D18" i="84"/>
  <c r="B18" i="84"/>
  <c r="Z17" i="84"/>
  <c r="P17" i="84"/>
  <c r="X17" i="84" s="1"/>
  <c r="N17" i="84"/>
  <c r="D17" i="84"/>
  <c r="L17" i="84" s="1"/>
  <c r="B17" i="84"/>
  <c r="Z16" i="84"/>
  <c r="X16" i="84"/>
  <c r="P16" i="84"/>
  <c r="N16" i="84"/>
  <c r="D16" i="84"/>
  <c r="L16" i="84" s="1"/>
  <c r="B16" i="84"/>
  <c r="Z15" i="84"/>
  <c r="P15" i="84"/>
  <c r="N15" i="84"/>
  <c r="D15" i="84"/>
  <c r="L15" i="84" s="1"/>
  <c r="B15" i="84"/>
  <c r="Z14" i="84"/>
  <c r="P14" i="84"/>
  <c r="X14" i="84" s="1"/>
  <c r="N14" i="84"/>
  <c r="D14" i="84"/>
  <c r="L14" i="84" s="1"/>
  <c r="B14" i="84"/>
  <c r="X13" i="84"/>
  <c r="Z13" i="84" s="1"/>
  <c r="P13" i="84"/>
  <c r="L13" i="84"/>
  <c r="N13" i="84" s="1"/>
  <c r="D13" i="84"/>
  <c r="B13" i="84"/>
  <c r="T12" i="84"/>
  <c r="V110" i="84" s="1"/>
  <c r="H12" i="84"/>
  <c r="D6" i="84"/>
  <c r="D4" i="84"/>
  <c r="Z90" i="83"/>
  <c r="X90" i="83"/>
  <c r="L90" i="83"/>
  <c r="N90" i="83" s="1"/>
  <c r="Z86" i="83"/>
  <c r="T86" i="83"/>
  <c r="X86" i="83" s="1"/>
  <c r="P86" i="83"/>
  <c r="H86" i="83"/>
  <c r="N86" i="83" s="1"/>
  <c r="D86" i="83"/>
  <c r="L86" i="83" s="1"/>
  <c r="Z84" i="83"/>
  <c r="X84" i="83"/>
  <c r="N84" i="83"/>
  <c r="L84" i="83"/>
  <c r="B84" i="83"/>
  <c r="T83" i="83"/>
  <c r="P83" i="83"/>
  <c r="H83" i="83"/>
  <c r="D83" i="83"/>
  <c r="L83" i="83" s="1"/>
  <c r="N83" i="83" s="1"/>
  <c r="B83" i="83"/>
  <c r="X82" i="83"/>
  <c r="Z82" i="83" s="1"/>
  <c r="N82" i="83"/>
  <c r="L82" i="83"/>
  <c r="B82" i="83"/>
  <c r="T81" i="83"/>
  <c r="Z81" i="83" s="1"/>
  <c r="P81" i="83"/>
  <c r="X81" i="83" s="1"/>
  <c r="L81" i="83"/>
  <c r="H81" i="83"/>
  <c r="N81" i="83" s="1"/>
  <c r="D81" i="83"/>
  <c r="B81" i="83"/>
  <c r="X80" i="83"/>
  <c r="Z80" i="83" s="1"/>
  <c r="N80" i="83"/>
  <c r="L80" i="83"/>
  <c r="B80" i="83"/>
  <c r="X79" i="83"/>
  <c r="Z79" i="83" s="1"/>
  <c r="L79" i="83"/>
  <c r="N79" i="83" s="1"/>
  <c r="J79" i="83"/>
  <c r="F79" i="83"/>
  <c r="B79" i="83"/>
  <c r="X78" i="83"/>
  <c r="Z78" i="83" s="1"/>
  <c r="T78" i="83"/>
  <c r="P78" i="83"/>
  <c r="H78" i="83"/>
  <c r="F78" i="83"/>
  <c r="D78" i="83"/>
  <c r="B78" i="83"/>
  <c r="Z77" i="83"/>
  <c r="X77" i="83"/>
  <c r="L77" i="83"/>
  <c r="N77" i="83" s="1"/>
  <c r="B77" i="83"/>
  <c r="Z76" i="83"/>
  <c r="X76" i="83"/>
  <c r="N76" i="83"/>
  <c r="L76" i="83"/>
  <c r="B76" i="83"/>
  <c r="X75" i="83"/>
  <c r="Z75" i="83" s="1"/>
  <c r="L75" i="83"/>
  <c r="N75" i="83" s="1"/>
  <c r="B75" i="83"/>
  <c r="X74" i="83"/>
  <c r="Z74" i="83" s="1"/>
  <c r="L74" i="83"/>
  <c r="N74" i="83" s="1"/>
  <c r="J74" i="83"/>
  <c r="B74" i="83"/>
  <c r="Z73" i="83"/>
  <c r="X73" i="83"/>
  <c r="L73" i="83"/>
  <c r="N73" i="83" s="1"/>
  <c r="B73" i="83"/>
  <c r="T72" i="83"/>
  <c r="X72" i="83" s="1"/>
  <c r="Z72" i="83" s="1"/>
  <c r="P72" i="83"/>
  <c r="H72" i="83"/>
  <c r="N72" i="83" s="1"/>
  <c r="D72" i="83"/>
  <c r="L72" i="83" s="1"/>
  <c r="B72" i="83"/>
  <c r="X71" i="83"/>
  <c r="Z71" i="83" s="1"/>
  <c r="L71" i="83"/>
  <c r="N71" i="83" s="1"/>
  <c r="B71" i="83"/>
  <c r="X70" i="83"/>
  <c r="Z70" i="83" s="1"/>
  <c r="V70" i="83"/>
  <c r="T70" i="83"/>
  <c r="P70" i="83"/>
  <c r="H70" i="83"/>
  <c r="D70" i="83"/>
  <c r="L70" i="83" s="1"/>
  <c r="B70" i="83"/>
  <c r="X69" i="83"/>
  <c r="Z69" i="83" s="1"/>
  <c r="N69" i="83"/>
  <c r="L69" i="83"/>
  <c r="B69" i="83"/>
  <c r="X68" i="83"/>
  <c r="Z68" i="83" s="1"/>
  <c r="N68" i="83"/>
  <c r="L68" i="83"/>
  <c r="B68" i="83"/>
  <c r="X67" i="83"/>
  <c r="Z67" i="83" s="1"/>
  <c r="N67" i="83"/>
  <c r="L67" i="83"/>
  <c r="J67" i="83"/>
  <c r="B67" i="83"/>
  <c r="X66" i="83"/>
  <c r="Z66" i="83" s="1"/>
  <c r="T66" i="83"/>
  <c r="P66" i="83"/>
  <c r="H66" i="83"/>
  <c r="F66" i="83"/>
  <c r="D66" i="83"/>
  <c r="B66" i="83"/>
  <c r="Z65" i="83"/>
  <c r="X65" i="83"/>
  <c r="N65" i="83"/>
  <c r="L65" i="83"/>
  <c r="B65" i="83"/>
  <c r="Z64" i="83"/>
  <c r="X64" i="83"/>
  <c r="N64" i="83"/>
  <c r="L64" i="83"/>
  <c r="B64" i="83"/>
  <c r="X63" i="83"/>
  <c r="Z63" i="83" s="1"/>
  <c r="N63" i="83"/>
  <c r="L63" i="83"/>
  <c r="B63" i="83"/>
  <c r="X62" i="83"/>
  <c r="Z62" i="83" s="1"/>
  <c r="N62" i="83"/>
  <c r="L62" i="83"/>
  <c r="J62" i="83"/>
  <c r="B62" i="83"/>
  <c r="T61" i="83"/>
  <c r="P61" i="83"/>
  <c r="X61" i="83" s="1"/>
  <c r="Z61" i="83" s="1"/>
  <c r="H61" i="83"/>
  <c r="D61" i="83"/>
  <c r="B61" i="83"/>
  <c r="Z60" i="83"/>
  <c r="X60" i="83"/>
  <c r="L60" i="83"/>
  <c r="N60" i="83" s="1"/>
  <c r="B60" i="83"/>
  <c r="X59" i="83"/>
  <c r="T59" i="83"/>
  <c r="Z59" i="83" s="1"/>
  <c r="P59" i="83"/>
  <c r="H59" i="83"/>
  <c r="D59" i="83"/>
  <c r="L59" i="83" s="1"/>
  <c r="B59" i="83"/>
  <c r="X58" i="83"/>
  <c r="Z58" i="83" s="1"/>
  <c r="L58" i="83"/>
  <c r="N58" i="83" s="1"/>
  <c r="B58" i="83"/>
  <c r="X57" i="83"/>
  <c r="Z57" i="83" s="1"/>
  <c r="T57" i="83"/>
  <c r="P57" i="83"/>
  <c r="H57" i="83"/>
  <c r="D57" i="83"/>
  <c r="L57" i="83" s="1"/>
  <c r="B57" i="83"/>
  <c r="Z56" i="83"/>
  <c r="X56" i="83"/>
  <c r="N56" i="83"/>
  <c r="L56" i="83"/>
  <c r="B56" i="83"/>
  <c r="T55" i="83"/>
  <c r="P55" i="83"/>
  <c r="N55" i="83"/>
  <c r="H55" i="83"/>
  <c r="D55" i="83"/>
  <c r="L55" i="83" s="1"/>
  <c r="B55" i="83"/>
  <c r="X54" i="83"/>
  <c r="Z54" i="83" s="1"/>
  <c r="L54" i="83"/>
  <c r="N54" i="83" s="1"/>
  <c r="B54" i="83"/>
  <c r="T53" i="83"/>
  <c r="P53" i="83"/>
  <c r="X53" i="83" s="1"/>
  <c r="L53" i="83"/>
  <c r="H53" i="83"/>
  <c r="N53" i="83" s="1"/>
  <c r="D53" i="83"/>
  <c r="B53" i="83"/>
  <c r="Z52" i="83"/>
  <c r="X52" i="83"/>
  <c r="N52" i="83"/>
  <c r="L52" i="83"/>
  <c r="B52" i="83"/>
  <c r="Z51" i="83"/>
  <c r="X51" i="83"/>
  <c r="N51" i="83"/>
  <c r="L51" i="83"/>
  <c r="J51" i="83"/>
  <c r="B51" i="83"/>
  <c r="X50" i="83"/>
  <c r="Z50" i="83" s="1"/>
  <c r="T50" i="83"/>
  <c r="P50" i="83"/>
  <c r="H50" i="83"/>
  <c r="F50" i="83"/>
  <c r="D50" i="83"/>
  <c r="B50" i="83"/>
  <c r="Z49" i="83"/>
  <c r="X49" i="83"/>
  <c r="L49" i="83"/>
  <c r="N49" i="83" s="1"/>
  <c r="B49" i="83"/>
  <c r="Z48" i="83"/>
  <c r="T48" i="83"/>
  <c r="X48" i="83" s="1"/>
  <c r="P48" i="83"/>
  <c r="H48" i="83"/>
  <c r="N48" i="83" s="1"/>
  <c r="D48" i="83"/>
  <c r="L48" i="83" s="1"/>
  <c r="B48" i="83"/>
  <c r="X47" i="83"/>
  <c r="Z47" i="83" s="1"/>
  <c r="L47" i="83"/>
  <c r="N47" i="83" s="1"/>
  <c r="B47" i="83"/>
  <c r="X46" i="83"/>
  <c r="Z46" i="83" s="1"/>
  <c r="T46" i="83"/>
  <c r="P46" i="83"/>
  <c r="H46" i="83"/>
  <c r="D46" i="83"/>
  <c r="L46" i="83" s="1"/>
  <c r="B46" i="83"/>
  <c r="X45" i="83"/>
  <c r="Z45" i="83" s="1"/>
  <c r="N45" i="83"/>
  <c r="L45" i="83"/>
  <c r="B45" i="83"/>
  <c r="T44" i="83"/>
  <c r="P44" i="83"/>
  <c r="L44" i="83"/>
  <c r="N44" i="83" s="1"/>
  <c r="H44" i="83"/>
  <c r="D44" i="83"/>
  <c r="B44" i="83"/>
  <c r="Z43" i="83"/>
  <c r="X43" i="83"/>
  <c r="N43" i="83"/>
  <c r="L43" i="83"/>
  <c r="B43" i="83"/>
  <c r="Z42" i="83"/>
  <c r="X42" i="83"/>
  <c r="N42" i="83"/>
  <c r="L42" i="83"/>
  <c r="J42" i="83"/>
  <c r="B42" i="83"/>
  <c r="Z41" i="83"/>
  <c r="X41" i="83"/>
  <c r="N41" i="83"/>
  <c r="L41" i="83"/>
  <c r="B41" i="83"/>
  <c r="Z40" i="83"/>
  <c r="X40" i="83"/>
  <c r="N40" i="83"/>
  <c r="L40" i="83"/>
  <c r="B40" i="83"/>
  <c r="Z39" i="83"/>
  <c r="X39" i="83"/>
  <c r="N39" i="83"/>
  <c r="L39" i="83"/>
  <c r="B39" i="83"/>
  <c r="X38" i="83"/>
  <c r="Z38" i="83" s="1"/>
  <c r="L38" i="83"/>
  <c r="N38" i="83" s="1"/>
  <c r="J38" i="83"/>
  <c r="B38" i="83"/>
  <c r="Z37" i="83"/>
  <c r="X37" i="83"/>
  <c r="N37" i="83"/>
  <c r="L37" i="83"/>
  <c r="B37" i="83"/>
  <c r="Z36" i="83"/>
  <c r="X36" i="83"/>
  <c r="N36" i="83"/>
  <c r="L36" i="83"/>
  <c r="B36" i="83"/>
  <c r="X35" i="83"/>
  <c r="Z35" i="83" s="1"/>
  <c r="L35" i="83"/>
  <c r="N35" i="83" s="1"/>
  <c r="B35" i="83"/>
  <c r="Z34" i="83"/>
  <c r="X34" i="83"/>
  <c r="N34" i="83"/>
  <c r="L34" i="83"/>
  <c r="J34" i="83"/>
  <c r="B34" i="83"/>
  <c r="T33" i="83"/>
  <c r="P33" i="83"/>
  <c r="X33" i="83" s="1"/>
  <c r="Z33" i="83" s="1"/>
  <c r="H33" i="83"/>
  <c r="D33" i="83"/>
  <c r="B33" i="83"/>
  <c r="X32" i="83"/>
  <c r="Z32" i="83" s="1"/>
  <c r="N32" i="83"/>
  <c r="L32" i="83"/>
  <c r="J32" i="83"/>
  <c r="B32" i="83"/>
  <c r="X31" i="83"/>
  <c r="Z31" i="83" s="1"/>
  <c r="L31" i="83"/>
  <c r="N31" i="83" s="1"/>
  <c r="B31" i="83"/>
  <c r="Z30" i="83"/>
  <c r="X30" i="83"/>
  <c r="N30" i="83"/>
  <c r="L30" i="83"/>
  <c r="B30" i="83"/>
  <c r="X29" i="83"/>
  <c r="Z29" i="83" s="1"/>
  <c r="L29" i="83"/>
  <c r="N29" i="83" s="1"/>
  <c r="B29" i="83"/>
  <c r="X28" i="83"/>
  <c r="Z28" i="83" s="1"/>
  <c r="L28" i="83"/>
  <c r="N28" i="83" s="1"/>
  <c r="J28" i="83"/>
  <c r="B28" i="83"/>
  <c r="X27" i="83"/>
  <c r="Z27" i="83" s="1"/>
  <c r="L27" i="83"/>
  <c r="N27" i="83" s="1"/>
  <c r="B27" i="83"/>
  <c r="X26" i="83"/>
  <c r="Z26" i="83" s="1"/>
  <c r="L26" i="83"/>
  <c r="N26" i="83" s="1"/>
  <c r="B26" i="83"/>
  <c r="X25" i="83"/>
  <c r="Z25" i="83" s="1"/>
  <c r="L25" i="83"/>
  <c r="N25" i="83" s="1"/>
  <c r="B25" i="83"/>
  <c r="T24" i="83"/>
  <c r="P24" i="83"/>
  <c r="X24" i="83" s="1"/>
  <c r="L24" i="83"/>
  <c r="N24" i="83" s="1"/>
  <c r="J24" i="83"/>
  <c r="H24" i="83"/>
  <c r="D24" i="83"/>
  <c r="B24" i="83"/>
  <c r="T23" i="83"/>
  <c r="P23" i="83"/>
  <c r="L23" i="83"/>
  <c r="N23" i="83" s="1"/>
  <c r="H23" i="83"/>
  <c r="D23" i="83"/>
  <c r="H21" i="83"/>
  <c r="H88" i="83" s="1"/>
  <c r="Z19" i="83"/>
  <c r="X19" i="83"/>
  <c r="N19" i="83"/>
  <c r="L19" i="83"/>
  <c r="J19" i="83"/>
  <c r="F19" i="83"/>
  <c r="B19" i="83"/>
  <c r="Z18" i="83"/>
  <c r="X18" i="83"/>
  <c r="N18" i="83"/>
  <c r="L18" i="83"/>
  <c r="J18" i="83"/>
  <c r="B18" i="83"/>
  <c r="X17" i="83"/>
  <c r="Z17" i="83" s="1"/>
  <c r="N17" i="83"/>
  <c r="L17" i="83"/>
  <c r="B17" i="83"/>
  <c r="T16" i="83"/>
  <c r="P16" i="83"/>
  <c r="N16" i="83"/>
  <c r="L16" i="83"/>
  <c r="H16" i="83"/>
  <c r="D16" i="83"/>
  <c r="P14" i="83"/>
  <c r="X14" i="83" s="1"/>
  <c r="Z14" i="83" s="1"/>
  <c r="L14" i="83"/>
  <c r="N14" i="83" s="1"/>
  <c r="D14" i="83"/>
  <c r="B14" i="83"/>
  <c r="Z13" i="83"/>
  <c r="X13" i="83"/>
  <c r="P13" i="83"/>
  <c r="D13" i="83"/>
  <c r="D12" i="83" s="1"/>
  <c r="B13" i="83"/>
  <c r="T12" i="83"/>
  <c r="H12" i="83"/>
  <c r="J80" i="83" s="1"/>
  <c r="D6" i="83"/>
  <c r="D4" i="83"/>
  <c r="X51" i="82"/>
  <c r="Z51" i="82" s="1"/>
  <c r="N51" i="82"/>
  <c r="L51" i="82"/>
  <c r="T47" i="82"/>
  <c r="Z47" i="82" s="1"/>
  <c r="P47" i="82"/>
  <c r="X47" i="82" s="1"/>
  <c r="N47" i="82"/>
  <c r="L47" i="82"/>
  <c r="J47" i="82"/>
  <c r="H47" i="82"/>
  <c r="D47" i="82"/>
  <c r="Z45" i="82"/>
  <c r="X45" i="82"/>
  <c r="N45" i="82"/>
  <c r="L45" i="82"/>
  <c r="B45" i="82"/>
  <c r="Z44" i="82"/>
  <c r="X44" i="82"/>
  <c r="N44" i="82"/>
  <c r="L44" i="82"/>
  <c r="B44" i="82"/>
  <c r="Z43" i="82"/>
  <c r="X43" i="82"/>
  <c r="V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B41" i="82"/>
  <c r="Z40" i="82"/>
  <c r="X40" i="82"/>
  <c r="N40" i="82"/>
  <c r="L40" i="82"/>
  <c r="B40" i="82"/>
  <c r="Z39" i="82"/>
  <c r="X39" i="82"/>
  <c r="V39" i="82"/>
  <c r="N39" i="82"/>
  <c r="L39" i="82"/>
  <c r="B39" i="82"/>
  <c r="Z38" i="82"/>
  <c r="X38" i="82"/>
  <c r="N38" i="82"/>
  <c r="L38" i="82"/>
  <c r="B38" i="82"/>
  <c r="Z37" i="82"/>
  <c r="X37" i="82"/>
  <c r="N37" i="82"/>
  <c r="L37" i="82"/>
  <c r="B37" i="82"/>
  <c r="Z36" i="82"/>
  <c r="X36" i="82"/>
  <c r="N36" i="82"/>
  <c r="L36" i="82"/>
  <c r="B36" i="82"/>
  <c r="Z35" i="82"/>
  <c r="X35" i="82"/>
  <c r="V35" i="82"/>
  <c r="T35" i="82"/>
  <c r="P35" i="82"/>
  <c r="H35" i="82"/>
  <c r="N35" i="82" s="1"/>
  <c r="D35" i="82"/>
  <c r="L35" i="82" s="1"/>
  <c r="B35" i="82"/>
  <c r="Z34" i="82"/>
  <c r="X34" i="82"/>
  <c r="N34" i="82"/>
  <c r="L34" i="82"/>
  <c r="B34" i="82"/>
  <c r="Z33" i="82"/>
  <c r="X33" i="82"/>
  <c r="N33" i="82"/>
  <c r="L33" i="82"/>
  <c r="B33" i="82"/>
  <c r="Z32" i="82"/>
  <c r="X32" i="82"/>
  <c r="N32" i="82"/>
  <c r="L32" i="82"/>
  <c r="J32" i="82"/>
  <c r="B32" i="82"/>
  <c r="Z31" i="82"/>
  <c r="X31" i="82"/>
  <c r="N31" i="82"/>
  <c r="L31" i="82"/>
  <c r="B31" i="82"/>
  <c r="Z30" i="82"/>
  <c r="X30" i="82"/>
  <c r="N30" i="82"/>
  <c r="L30" i="82"/>
  <c r="B30" i="82"/>
  <c r="Z29" i="82"/>
  <c r="X29" i="82"/>
  <c r="N29" i="82"/>
  <c r="L29" i="82"/>
  <c r="B29" i="82"/>
  <c r="Z28" i="82"/>
  <c r="X28" i="82"/>
  <c r="N28" i="82"/>
  <c r="L28" i="82"/>
  <c r="J28" i="82"/>
  <c r="B28" i="82"/>
  <c r="Z27" i="82"/>
  <c r="X27" i="82"/>
  <c r="N27" i="82"/>
  <c r="L27" i="82"/>
  <c r="B27" i="82"/>
  <c r="Z26" i="82"/>
  <c r="X26" i="82"/>
  <c r="T26" i="82"/>
  <c r="P26" i="82"/>
  <c r="N26" i="82"/>
  <c r="J26" i="82"/>
  <c r="H26" i="82"/>
  <c r="D26" i="82"/>
  <c r="L26" i="82" s="1"/>
  <c r="B26" i="82"/>
  <c r="T25" i="82"/>
  <c r="Z25" i="82" s="1"/>
  <c r="P25" i="82"/>
  <c r="H25" i="82"/>
  <c r="N25" i="82" s="1"/>
  <c r="D25" i="82"/>
  <c r="L25" i="82" s="1"/>
  <c r="Z21" i="82"/>
  <c r="X21" i="82"/>
  <c r="N21" i="82"/>
  <c r="L21" i="82"/>
  <c r="B21" i="82"/>
  <c r="Z20" i="82"/>
  <c r="X20" i="82"/>
  <c r="V20" i="82"/>
  <c r="N20" i="82"/>
  <c r="L20" i="82"/>
  <c r="J20" i="82"/>
  <c r="B20" i="82"/>
  <c r="X19" i="82"/>
  <c r="Z19" i="82" s="1"/>
  <c r="L19" i="82"/>
  <c r="N19" i="82" s="1"/>
  <c r="J19" i="82"/>
  <c r="B19" i="82"/>
  <c r="T18" i="82"/>
  <c r="X18" i="82" s="1"/>
  <c r="Z18" i="82" s="1"/>
  <c r="P18" i="82"/>
  <c r="H18" i="82"/>
  <c r="D18" i="82"/>
  <c r="Z16" i="82"/>
  <c r="P16" i="82"/>
  <c r="X16" i="82" s="1"/>
  <c r="N16" i="82"/>
  <c r="L16" i="82"/>
  <c r="D16" i="82"/>
  <c r="B16" i="82"/>
  <c r="Z15" i="82"/>
  <c r="P15" i="82"/>
  <c r="N15" i="82"/>
  <c r="D15" i="82"/>
  <c r="L15" i="82" s="1"/>
  <c r="B15" i="82"/>
  <c r="Z14" i="82"/>
  <c r="P14" i="82"/>
  <c r="X14" i="82" s="1"/>
  <c r="N14" i="82"/>
  <c r="L14" i="82"/>
  <c r="D14" i="82"/>
  <c r="B14" i="82"/>
  <c r="Z13" i="82"/>
  <c r="X13" i="82"/>
  <c r="P13" i="82"/>
  <c r="D13" i="82"/>
  <c r="D12" i="82" s="1"/>
  <c r="B13" i="82"/>
  <c r="T12" i="82"/>
  <c r="L12" i="82"/>
  <c r="N12" i="82" s="1"/>
  <c r="H12" i="82"/>
  <c r="J51" i="82" s="1"/>
  <c r="D6" i="82"/>
  <c r="D4" i="82"/>
  <c r="Z72" i="80"/>
  <c r="X72" i="80"/>
  <c r="N72" i="80"/>
  <c r="L72" i="80"/>
  <c r="T68" i="80"/>
  <c r="Z68" i="80" s="1"/>
  <c r="P68" i="80"/>
  <c r="X68" i="80" s="1"/>
  <c r="H68" i="80"/>
  <c r="N68" i="80" s="1"/>
  <c r="D68" i="80"/>
  <c r="L68" i="80" s="1"/>
  <c r="Z66" i="80"/>
  <c r="X66" i="80"/>
  <c r="N66" i="80"/>
  <c r="L66" i="80"/>
  <c r="B66" i="80"/>
  <c r="Z65" i="80"/>
  <c r="T65" i="80"/>
  <c r="P65" i="80"/>
  <c r="X65" i="80" s="1"/>
  <c r="N65" i="80"/>
  <c r="L65" i="80"/>
  <c r="H65" i="80"/>
  <c r="D65" i="80"/>
  <c r="B65" i="80"/>
  <c r="Z64" i="80"/>
  <c r="X64" i="80"/>
  <c r="N64" i="80"/>
  <c r="L64" i="80"/>
  <c r="F64" i="80"/>
  <c r="B64" i="80"/>
  <c r="T63" i="80"/>
  <c r="Z63" i="80" s="1"/>
  <c r="P63" i="80"/>
  <c r="X63" i="80" s="1"/>
  <c r="H63" i="80"/>
  <c r="F63" i="80"/>
  <c r="D63" i="80"/>
  <c r="B63" i="80"/>
  <c r="Z62" i="80"/>
  <c r="X62" i="80"/>
  <c r="N62" i="80"/>
  <c r="L62" i="80"/>
  <c r="B62" i="80"/>
  <c r="Z61" i="80"/>
  <c r="X61" i="80"/>
  <c r="N61" i="80"/>
  <c r="L61" i="80"/>
  <c r="B61" i="80"/>
  <c r="Z60" i="80"/>
  <c r="X60" i="80"/>
  <c r="V60" i="80"/>
  <c r="R60" i="80"/>
  <c r="N60" i="80"/>
  <c r="L60" i="80"/>
  <c r="B60" i="80"/>
  <c r="Z59" i="80"/>
  <c r="X59" i="80"/>
  <c r="N59" i="80"/>
  <c r="L59" i="80"/>
  <c r="B59" i="80"/>
  <c r="Z58" i="80"/>
  <c r="X58" i="80"/>
  <c r="T58" i="80"/>
  <c r="P58" i="80"/>
  <c r="H58" i="80"/>
  <c r="D58" i="80"/>
  <c r="B58" i="80"/>
  <c r="Z57" i="80"/>
  <c r="X57" i="80"/>
  <c r="N57" i="80"/>
  <c r="L57" i="80"/>
  <c r="F57" i="80"/>
  <c r="B57" i="80"/>
  <c r="Z56" i="80"/>
  <c r="X56" i="80"/>
  <c r="N56" i="80"/>
  <c r="L56" i="80"/>
  <c r="B56" i="80"/>
  <c r="Z55" i="80"/>
  <c r="X55" i="80"/>
  <c r="V55" i="80"/>
  <c r="T55" i="80"/>
  <c r="P55" i="80"/>
  <c r="N55" i="80"/>
  <c r="H55" i="80"/>
  <c r="D55" i="80"/>
  <c r="L55" i="80" s="1"/>
  <c r="B55" i="80"/>
  <c r="Z54" i="80"/>
  <c r="X54" i="80"/>
  <c r="N54" i="80"/>
  <c r="L54" i="80"/>
  <c r="B54" i="80"/>
  <c r="Z53" i="80"/>
  <c r="X53" i="80"/>
  <c r="N53" i="80"/>
  <c r="L53" i="80"/>
  <c r="B53" i="80"/>
  <c r="Z52" i="80"/>
  <c r="T52" i="80"/>
  <c r="P52" i="80"/>
  <c r="X52" i="80" s="1"/>
  <c r="N52" i="80"/>
  <c r="L52" i="80"/>
  <c r="H52" i="80"/>
  <c r="D52" i="80"/>
  <c r="B52" i="80"/>
  <c r="Z51" i="80"/>
  <c r="X51" i="80"/>
  <c r="N51" i="80"/>
  <c r="L51" i="80"/>
  <c r="B51" i="80"/>
  <c r="Z50" i="80"/>
  <c r="X50" i="80"/>
  <c r="T50" i="80"/>
  <c r="P50" i="80"/>
  <c r="H50" i="80"/>
  <c r="D50" i="80"/>
  <c r="B50" i="80"/>
  <c r="Z49" i="80"/>
  <c r="X49" i="80"/>
  <c r="N49" i="80"/>
  <c r="L49" i="80"/>
  <c r="F49" i="80"/>
  <c r="B49" i="80"/>
  <c r="T48" i="80"/>
  <c r="X48" i="80" s="1"/>
  <c r="P48" i="80"/>
  <c r="H48" i="80"/>
  <c r="N48" i="80" s="1"/>
  <c r="F48" i="80"/>
  <c r="D48" i="80"/>
  <c r="L48" i="80" s="1"/>
  <c r="B48" i="80"/>
  <c r="X47" i="80"/>
  <c r="Z47" i="80" s="1"/>
  <c r="L47" i="80"/>
  <c r="N47" i="80" s="1"/>
  <c r="B47" i="80"/>
  <c r="X46" i="80"/>
  <c r="Z46" i="80" s="1"/>
  <c r="T46" i="80"/>
  <c r="P46" i="80"/>
  <c r="H46" i="80"/>
  <c r="D46" i="80"/>
  <c r="L46" i="80" s="1"/>
  <c r="N46" i="80" s="1"/>
  <c r="B46" i="80"/>
  <c r="Z45" i="80"/>
  <c r="X45" i="80"/>
  <c r="N45" i="80"/>
  <c r="L45" i="80"/>
  <c r="B45" i="80"/>
  <c r="V44" i="80"/>
  <c r="T44" i="80"/>
  <c r="P44" i="80"/>
  <c r="N44" i="80"/>
  <c r="L44" i="80"/>
  <c r="H44" i="80"/>
  <c r="D44" i="80"/>
  <c r="B44" i="80"/>
  <c r="Z43" i="80"/>
  <c r="X43" i="80"/>
  <c r="V43" i="80"/>
  <c r="N43" i="80"/>
  <c r="L43" i="80"/>
  <c r="B43" i="80"/>
  <c r="T42" i="80"/>
  <c r="Z42" i="80" s="1"/>
  <c r="P42" i="80"/>
  <c r="X42" i="80" s="1"/>
  <c r="H42" i="80"/>
  <c r="N42" i="80" s="1"/>
  <c r="D42" i="80"/>
  <c r="L42" i="80" s="1"/>
  <c r="B42" i="80"/>
  <c r="Z41" i="80"/>
  <c r="X41" i="80"/>
  <c r="R41" i="80"/>
  <c r="N41" i="80"/>
  <c r="L41" i="80"/>
  <c r="B41" i="80"/>
  <c r="Z40" i="80"/>
  <c r="X40" i="80"/>
  <c r="N40" i="80"/>
  <c r="L40" i="80"/>
  <c r="B40" i="80"/>
  <c r="Z39" i="80"/>
  <c r="X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F36" i="80"/>
  <c r="B36" i="80"/>
  <c r="Z35" i="80"/>
  <c r="X35" i="80"/>
  <c r="N35" i="80"/>
  <c r="L35" i="80"/>
  <c r="B35" i="80"/>
  <c r="Z34" i="80"/>
  <c r="X34" i="80"/>
  <c r="N34" i="80"/>
  <c r="L34" i="80"/>
  <c r="B34" i="80"/>
  <c r="Z33" i="80"/>
  <c r="X33" i="80"/>
  <c r="R33" i="80"/>
  <c r="N33" i="80"/>
  <c r="L33" i="80"/>
  <c r="B33" i="80"/>
  <c r="Z32" i="80"/>
  <c r="X32" i="80"/>
  <c r="N32" i="80"/>
  <c r="L32" i="80"/>
  <c r="F32" i="80"/>
  <c r="B32" i="80"/>
  <c r="T31" i="80"/>
  <c r="Z31" i="80" s="1"/>
  <c r="P31" i="80"/>
  <c r="X31" i="80" s="1"/>
  <c r="H31" i="80"/>
  <c r="F31" i="80"/>
  <c r="D31" i="80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V28" i="80"/>
  <c r="R28" i="80"/>
  <c r="N28" i="80"/>
  <c r="L28" i="80"/>
  <c r="B28" i="80"/>
  <c r="Z27" i="80"/>
  <c r="X27" i="80"/>
  <c r="N27" i="80"/>
  <c r="L27" i="80"/>
  <c r="B27" i="80"/>
  <c r="Z26" i="80"/>
  <c r="X26" i="80"/>
  <c r="N26" i="80"/>
  <c r="L26" i="80"/>
  <c r="B26" i="80"/>
  <c r="Z25" i="80"/>
  <c r="X25" i="80"/>
  <c r="N25" i="80"/>
  <c r="L25" i="80"/>
  <c r="B25" i="80"/>
  <c r="Z24" i="80"/>
  <c r="X24" i="80"/>
  <c r="V24" i="80"/>
  <c r="R24" i="80"/>
  <c r="N24" i="80"/>
  <c r="L24" i="80"/>
  <c r="B24" i="80"/>
  <c r="Z23" i="80"/>
  <c r="X23" i="80"/>
  <c r="N23" i="80"/>
  <c r="L23" i="80"/>
  <c r="B23" i="80"/>
  <c r="X22" i="80"/>
  <c r="T22" i="80"/>
  <c r="Z22" i="80" s="1"/>
  <c r="P22" i="80"/>
  <c r="H22" i="80"/>
  <c r="D22" i="80"/>
  <c r="B22" i="80"/>
  <c r="T21" i="80"/>
  <c r="P21" i="80"/>
  <c r="H21" i="80"/>
  <c r="D21" i="80"/>
  <c r="J19" i="80"/>
  <c r="Z17" i="80"/>
  <c r="X17" i="80"/>
  <c r="N17" i="80"/>
  <c r="L17" i="80"/>
  <c r="F17" i="80"/>
  <c r="B17" i="80"/>
  <c r="Z16" i="80"/>
  <c r="X16" i="80"/>
  <c r="N16" i="80"/>
  <c r="L16" i="80"/>
  <c r="B16" i="80"/>
  <c r="X15" i="80"/>
  <c r="V15" i="80"/>
  <c r="T15" i="80"/>
  <c r="Z15" i="80" s="1"/>
  <c r="P15" i="80"/>
  <c r="H15" i="80"/>
  <c r="N15" i="80" s="1"/>
  <c r="D15" i="80"/>
  <c r="L15" i="80" s="1"/>
  <c r="Z13" i="80"/>
  <c r="X13" i="80"/>
  <c r="P13" i="80"/>
  <c r="P12" i="80" s="1"/>
  <c r="R42" i="80" s="1"/>
  <c r="N13" i="80"/>
  <c r="D13" i="80"/>
  <c r="L13" i="80" s="1"/>
  <c r="B13" i="80"/>
  <c r="T12" i="80"/>
  <c r="V61" i="80" s="1"/>
  <c r="H12" i="80"/>
  <c r="D12" i="80"/>
  <c r="D6" i="80"/>
  <c r="D4" i="80"/>
  <c r="X80" i="79"/>
  <c r="Z80" i="79" s="1"/>
  <c r="N80" i="79"/>
  <c r="L80" i="79"/>
  <c r="Z76" i="79"/>
  <c r="X76" i="79"/>
  <c r="T76" i="79"/>
  <c r="P76" i="79"/>
  <c r="N76" i="79"/>
  <c r="H76" i="79"/>
  <c r="D76" i="79"/>
  <c r="L76" i="79" s="1"/>
  <c r="X74" i="79"/>
  <c r="Z74" i="79" s="1"/>
  <c r="L74" i="79"/>
  <c r="N74" i="79" s="1"/>
  <c r="B74" i="79"/>
  <c r="T73" i="79"/>
  <c r="P73" i="79"/>
  <c r="H73" i="79"/>
  <c r="D73" i="79"/>
  <c r="L73" i="79" s="1"/>
  <c r="B73" i="79"/>
  <c r="Z72" i="79"/>
  <c r="X72" i="79"/>
  <c r="V72" i="79"/>
  <c r="N72" i="79"/>
  <c r="L72" i="79"/>
  <c r="B72" i="79"/>
  <c r="T71" i="79"/>
  <c r="P71" i="79"/>
  <c r="X71" i="79" s="1"/>
  <c r="N71" i="79"/>
  <c r="H71" i="79"/>
  <c r="D71" i="79"/>
  <c r="L71" i="79" s="1"/>
  <c r="B71" i="79"/>
  <c r="Z70" i="79"/>
  <c r="X70" i="79"/>
  <c r="N70" i="79"/>
  <c r="L70" i="79"/>
  <c r="B70" i="79"/>
  <c r="X69" i="79"/>
  <c r="Z69" i="79" s="1"/>
  <c r="L69" i="79"/>
  <c r="N69" i="79" s="1"/>
  <c r="B69" i="79"/>
  <c r="T68" i="79"/>
  <c r="P68" i="79"/>
  <c r="X68" i="79" s="1"/>
  <c r="Z68" i="79" s="1"/>
  <c r="H68" i="79"/>
  <c r="D68" i="79"/>
  <c r="L68" i="79" s="1"/>
  <c r="N68" i="79" s="1"/>
  <c r="B68" i="79"/>
  <c r="X67" i="79"/>
  <c r="Z67" i="79" s="1"/>
  <c r="N67" i="79"/>
  <c r="L67" i="79"/>
  <c r="B67" i="79"/>
  <c r="Z66" i="79"/>
  <c r="X66" i="79"/>
  <c r="N66" i="79"/>
  <c r="L66" i="79"/>
  <c r="B66" i="79"/>
  <c r="X65" i="79"/>
  <c r="Z65" i="79" s="1"/>
  <c r="N65" i="79"/>
  <c r="L65" i="79"/>
  <c r="B65" i="79"/>
  <c r="V64" i="79"/>
  <c r="T64" i="79"/>
  <c r="P64" i="79"/>
  <c r="X64" i="79" s="1"/>
  <c r="Z64" i="79" s="1"/>
  <c r="L64" i="79"/>
  <c r="N64" i="79" s="1"/>
  <c r="H64" i="79"/>
  <c r="D64" i="79"/>
  <c r="B64" i="79"/>
  <c r="X63" i="79"/>
  <c r="Z63" i="79" s="1"/>
  <c r="L63" i="79"/>
  <c r="N63" i="79" s="1"/>
  <c r="B63" i="79"/>
  <c r="Z62" i="79"/>
  <c r="X62" i="79"/>
  <c r="N62" i="79"/>
  <c r="L62" i="79"/>
  <c r="B62" i="79"/>
  <c r="T61" i="79"/>
  <c r="P61" i="79"/>
  <c r="X61" i="79" s="1"/>
  <c r="Z61" i="79" s="1"/>
  <c r="L61" i="79"/>
  <c r="H61" i="79"/>
  <c r="D61" i="79"/>
  <c r="B61" i="79"/>
  <c r="Z60" i="79"/>
  <c r="X60" i="79"/>
  <c r="N60" i="79"/>
  <c r="L60" i="79"/>
  <c r="B60" i="79"/>
  <c r="Z59" i="79"/>
  <c r="X59" i="79"/>
  <c r="V59" i="79"/>
  <c r="N59" i="79"/>
  <c r="L59" i="79"/>
  <c r="B59" i="79"/>
  <c r="T58" i="79"/>
  <c r="P58" i="79"/>
  <c r="X58" i="79" s="1"/>
  <c r="Z58" i="79" s="1"/>
  <c r="H58" i="79"/>
  <c r="D58" i="79"/>
  <c r="L58" i="79" s="1"/>
  <c r="B58" i="79"/>
  <c r="X57" i="79"/>
  <c r="Z57" i="79" s="1"/>
  <c r="N57" i="79"/>
  <c r="L57" i="79"/>
  <c r="B57" i="79"/>
  <c r="Z56" i="79"/>
  <c r="X56" i="79"/>
  <c r="V56" i="79"/>
  <c r="N56" i="79"/>
  <c r="L56" i="79"/>
  <c r="B56" i="79"/>
  <c r="T55" i="79"/>
  <c r="P55" i="79"/>
  <c r="X55" i="79" s="1"/>
  <c r="H55" i="79"/>
  <c r="D55" i="79"/>
  <c r="B55" i="79"/>
  <c r="X54" i="79"/>
  <c r="Z54" i="79" s="1"/>
  <c r="N54" i="79"/>
  <c r="L54" i="79"/>
  <c r="B54" i="79"/>
  <c r="T53" i="79"/>
  <c r="R53" i="79"/>
  <c r="P53" i="79"/>
  <c r="X53" i="79" s="1"/>
  <c r="Z53" i="79" s="1"/>
  <c r="H53" i="79"/>
  <c r="N53" i="79" s="1"/>
  <c r="D53" i="79"/>
  <c r="L53" i="79" s="1"/>
  <c r="B53" i="79"/>
  <c r="Z52" i="79"/>
  <c r="X52" i="79"/>
  <c r="N52" i="79"/>
  <c r="L52" i="79"/>
  <c r="B52" i="79"/>
  <c r="X51" i="79"/>
  <c r="T51" i="79"/>
  <c r="V51" i="79" s="1"/>
  <c r="P51" i="79"/>
  <c r="H51" i="79"/>
  <c r="D51" i="79"/>
  <c r="L51" i="79" s="1"/>
  <c r="N51" i="79" s="1"/>
  <c r="B51" i="79"/>
  <c r="Z50" i="79"/>
  <c r="X50" i="79"/>
  <c r="V50" i="79"/>
  <c r="L50" i="79"/>
  <c r="N50" i="79" s="1"/>
  <c r="B50" i="79"/>
  <c r="X49" i="79"/>
  <c r="V49" i="79"/>
  <c r="T49" i="79"/>
  <c r="P49" i="79"/>
  <c r="H49" i="79"/>
  <c r="D49" i="79"/>
  <c r="B49" i="79"/>
  <c r="Z48" i="79"/>
  <c r="X48" i="79"/>
  <c r="V48" i="79"/>
  <c r="N48" i="79"/>
  <c r="L48" i="79"/>
  <c r="B48" i="79"/>
  <c r="T47" i="79"/>
  <c r="Z47" i="79" s="1"/>
  <c r="P47" i="79"/>
  <c r="X47" i="79" s="1"/>
  <c r="N47" i="79"/>
  <c r="H47" i="79"/>
  <c r="D47" i="79"/>
  <c r="L47" i="79" s="1"/>
  <c r="B47" i="79"/>
  <c r="Z46" i="79"/>
  <c r="X46" i="79"/>
  <c r="V46" i="79"/>
  <c r="L46" i="79"/>
  <c r="N46" i="79" s="1"/>
  <c r="J46" i="79"/>
  <c r="B46" i="79"/>
  <c r="Z45" i="79"/>
  <c r="X45" i="79"/>
  <c r="V45" i="79"/>
  <c r="T45" i="79"/>
  <c r="P45" i="79"/>
  <c r="H45" i="79"/>
  <c r="D45" i="79"/>
  <c r="B45" i="79"/>
  <c r="Z44" i="79"/>
  <c r="X44" i="79"/>
  <c r="V44" i="79"/>
  <c r="N44" i="79"/>
  <c r="L44" i="79"/>
  <c r="B44" i="79"/>
  <c r="Z43" i="79"/>
  <c r="X43" i="79"/>
  <c r="V43" i="79"/>
  <c r="N43" i="79"/>
  <c r="L43" i="79"/>
  <c r="B43" i="79"/>
  <c r="Z42" i="79"/>
  <c r="X42" i="79"/>
  <c r="N42" i="79"/>
  <c r="L42" i="79"/>
  <c r="B42" i="79"/>
  <c r="Z41" i="79"/>
  <c r="X41" i="79"/>
  <c r="V41" i="79"/>
  <c r="N41" i="79"/>
  <c r="L41" i="79"/>
  <c r="B41" i="79"/>
  <c r="Z40" i="79"/>
  <c r="X40" i="79"/>
  <c r="V40" i="79"/>
  <c r="N40" i="79"/>
  <c r="L40" i="79"/>
  <c r="B40" i="79"/>
  <c r="Z39" i="79"/>
  <c r="X39" i="79"/>
  <c r="V39" i="79"/>
  <c r="N39" i="79"/>
  <c r="L39" i="79"/>
  <c r="B39" i="79"/>
  <c r="Z38" i="79"/>
  <c r="X38" i="79"/>
  <c r="V38" i="79"/>
  <c r="L38" i="79"/>
  <c r="N38" i="79" s="1"/>
  <c r="J38" i="79"/>
  <c r="B38" i="79"/>
  <c r="Z37" i="79"/>
  <c r="X37" i="79"/>
  <c r="N37" i="79"/>
  <c r="L37" i="79"/>
  <c r="B37" i="79"/>
  <c r="Z36" i="79"/>
  <c r="X36" i="79"/>
  <c r="V36" i="79"/>
  <c r="N36" i="79"/>
  <c r="L36" i="79"/>
  <c r="B36" i="79"/>
  <c r="Z35" i="79"/>
  <c r="X35" i="79"/>
  <c r="V35" i="79"/>
  <c r="N35" i="79"/>
  <c r="L35" i="79"/>
  <c r="B35" i="79"/>
  <c r="V34" i="79"/>
  <c r="T34" i="79"/>
  <c r="P34" i="79"/>
  <c r="X34" i="79" s="1"/>
  <c r="N34" i="79"/>
  <c r="H34" i="79"/>
  <c r="L34" i="79" s="1"/>
  <c r="D34" i="79"/>
  <c r="B34" i="79"/>
  <c r="Z33" i="79"/>
  <c r="X33" i="79"/>
  <c r="V33" i="79"/>
  <c r="N33" i="79"/>
  <c r="L33" i="79"/>
  <c r="B33" i="79"/>
  <c r="Z32" i="79"/>
  <c r="X32" i="79"/>
  <c r="V32" i="79"/>
  <c r="N32" i="79"/>
  <c r="L32" i="79"/>
  <c r="B32" i="79"/>
  <c r="Z31" i="79"/>
  <c r="X31" i="79"/>
  <c r="V31" i="79"/>
  <c r="N31" i="79"/>
  <c r="L31" i="79"/>
  <c r="B31" i="79"/>
  <c r="Z30" i="79"/>
  <c r="X30" i="79"/>
  <c r="V30" i="79"/>
  <c r="N30" i="79"/>
  <c r="L30" i="79"/>
  <c r="B30" i="79"/>
  <c r="Z29" i="79"/>
  <c r="X29" i="79"/>
  <c r="V29" i="79"/>
  <c r="N29" i="79"/>
  <c r="L29" i="79"/>
  <c r="B29" i="79"/>
  <c r="Z28" i="79"/>
  <c r="X28" i="79"/>
  <c r="V28" i="79"/>
  <c r="N28" i="79"/>
  <c r="L28" i="79"/>
  <c r="B28" i="79"/>
  <c r="Z27" i="79"/>
  <c r="X27" i="79"/>
  <c r="V27" i="79"/>
  <c r="N27" i="79"/>
  <c r="L27" i="79"/>
  <c r="B27" i="79"/>
  <c r="X26" i="79"/>
  <c r="Z26" i="79" s="1"/>
  <c r="V26" i="79"/>
  <c r="N26" i="79"/>
  <c r="L26" i="79"/>
  <c r="B26" i="79"/>
  <c r="X25" i="79"/>
  <c r="Z25" i="79" s="1"/>
  <c r="V25" i="79"/>
  <c r="N25" i="79"/>
  <c r="L25" i="79"/>
  <c r="B25" i="79"/>
  <c r="V24" i="79"/>
  <c r="T24" i="79"/>
  <c r="P24" i="79"/>
  <c r="X24" i="79" s="1"/>
  <c r="Z24" i="79" s="1"/>
  <c r="L24" i="79"/>
  <c r="J24" i="79"/>
  <c r="H24" i="79"/>
  <c r="N24" i="79" s="1"/>
  <c r="D24" i="79"/>
  <c r="B24" i="79"/>
  <c r="T23" i="79"/>
  <c r="P23" i="79"/>
  <c r="L23" i="79"/>
  <c r="N23" i="79" s="1"/>
  <c r="H23" i="79"/>
  <c r="D23" i="79"/>
  <c r="T21" i="79"/>
  <c r="Z19" i="79"/>
  <c r="X19" i="79"/>
  <c r="V19" i="79"/>
  <c r="N19" i="79"/>
  <c r="L19" i="79"/>
  <c r="J19" i="79"/>
  <c r="B19" i="79"/>
  <c r="Z18" i="79"/>
  <c r="X18" i="79"/>
  <c r="V18" i="79"/>
  <c r="N18" i="79"/>
  <c r="L18" i="79"/>
  <c r="J18" i="79"/>
  <c r="B18" i="79"/>
  <c r="X17" i="79"/>
  <c r="Z17" i="79" s="1"/>
  <c r="T17" i="79"/>
  <c r="V17" i="79" s="1"/>
  <c r="P17" i="79"/>
  <c r="H17" i="79"/>
  <c r="D17" i="79"/>
  <c r="Z15" i="79"/>
  <c r="X15" i="79"/>
  <c r="P15" i="79"/>
  <c r="N15" i="79"/>
  <c r="D15" i="79"/>
  <c r="L15" i="79" s="1"/>
  <c r="B15" i="79"/>
  <c r="P14" i="79"/>
  <c r="X14" i="79" s="1"/>
  <c r="Z14" i="79" s="1"/>
  <c r="D14" i="79"/>
  <c r="B14" i="79"/>
  <c r="Z13" i="79"/>
  <c r="X13" i="79"/>
  <c r="P13" i="79"/>
  <c r="N13" i="79"/>
  <c r="D13" i="79"/>
  <c r="L13" i="79" s="1"/>
  <c r="B13" i="79"/>
  <c r="T12" i="79"/>
  <c r="P12" i="79"/>
  <c r="H12" i="79"/>
  <c r="J39" i="79" s="1"/>
  <c r="D6" i="79"/>
  <c r="D4" i="79"/>
  <c r="Z102" i="76"/>
  <c r="X102" i="76"/>
  <c r="L102" i="76"/>
  <c r="N102" i="76" s="1"/>
  <c r="J102" i="76"/>
  <c r="H100" i="76"/>
  <c r="Z98" i="76"/>
  <c r="X98" i="76"/>
  <c r="P98" i="76"/>
  <c r="P96" i="76" s="1"/>
  <c r="X96" i="76" s="1"/>
  <c r="J98" i="76"/>
  <c r="D98" i="76"/>
  <c r="B98" i="76"/>
  <c r="Z97" i="76"/>
  <c r="X97" i="76"/>
  <c r="P97" i="76"/>
  <c r="N97" i="76"/>
  <c r="L97" i="76"/>
  <c r="J97" i="76"/>
  <c r="D97" i="76"/>
  <c r="B97" i="76"/>
  <c r="Z96" i="76"/>
  <c r="T96" i="76"/>
  <c r="J96" i="76"/>
  <c r="H96" i="76"/>
  <c r="Z94" i="76"/>
  <c r="X94" i="76"/>
  <c r="N94" i="76"/>
  <c r="L94" i="76"/>
  <c r="J94" i="76"/>
  <c r="B94" i="76"/>
  <c r="T93" i="76"/>
  <c r="Z93" i="76" s="1"/>
  <c r="P93" i="76"/>
  <c r="N93" i="76"/>
  <c r="H93" i="76"/>
  <c r="D93" i="76"/>
  <c r="L93" i="76" s="1"/>
  <c r="B93" i="76"/>
  <c r="X92" i="76"/>
  <c r="Z92" i="76" s="1"/>
  <c r="V92" i="76"/>
  <c r="N92" i="76"/>
  <c r="L92" i="76"/>
  <c r="J92" i="76"/>
  <c r="B92" i="76"/>
  <c r="T91" i="76"/>
  <c r="P91" i="76"/>
  <c r="X91" i="76" s="1"/>
  <c r="Z91" i="76" s="1"/>
  <c r="H91" i="76"/>
  <c r="L91" i="76" s="1"/>
  <c r="D91" i="76"/>
  <c r="B91" i="76"/>
  <c r="Z90" i="76"/>
  <c r="X90" i="76"/>
  <c r="N90" i="76"/>
  <c r="L90" i="76"/>
  <c r="J90" i="76"/>
  <c r="B90" i="76"/>
  <c r="X89" i="76"/>
  <c r="Z89" i="76" s="1"/>
  <c r="N89" i="76"/>
  <c r="L89" i="76"/>
  <c r="J89" i="76"/>
  <c r="B89" i="76"/>
  <c r="Z88" i="76"/>
  <c r="X88" i="76"/>
  <c r="N88" i="76"/>
  <c r="L88" i="76"/>
  <c r="J88" i="76"/>
  <c r="B88" i="76"/>
  <c r="X87" i="76"/>
  <c r="Z87" i="76" s="1"/>
  <c r="T87" i="76"/>
  <c r="P87" i="76"/>
  <c r="H87" i="76"/>
  <c r="D87" i="76"/>
  <c r="B87" i="76"/>
  <c r="Z86" i="76"/>
  <c r="X86" i="76"/>
  <c r="N86" i="76"/>
  <c r="L86" i="76"/>
  <c r="J86" i="76"/>
  <c r="B86" i="76"/>
  <c r="V85" i="76"/>
  <c r="T85" i="76"/>
  <c r="P85" i="76"/>
  <c r="H85" i="76"/>
  <c r="D85" i="76"/>
  <c r="L85" i="76" s="1"/>
  <c r="B85" i="76"/>
  <c r="X84" i="76"/>
  <c r="Z84" i="76" s="1"/>
  <c r="V84" i="76"/>
  <c r="N84" i="76"/>
  <c r="L84" i="76"/>
  <c r="J84" i="76"/>
  <c r="B84" i="76"/>
  <c r="T83" i="76"/>
  <c r="P83" i="76"/>
  <c r="X83" i="76" s="1"/>
  <c r="Z83" i="76" s="1"/>
  <c r="H83" i="76"/>
  <c r="L83" i="76" s="1"/>
  <c r="D83" i="76"/>
  <c r="B83" i="76"/>
  <c r="Z82" i="76"/>
  <c r="X82" i="76"/>
  <c r="N82" i="76"/>
  <c r="L82" i="76"/>
  <c r="J82" i="76"/>
  <c r="B82" i="76"/>
  <c r="T81" i="76"/>
  <c r="P81" i="76"/>
  <c r="L81" i="76"/>
  <c r="N81" i="76" s="1"/>
  <c r="H81" i="76"/>
  <c r="D81" i="76"/>
  <c r="B81" i="76"/>
  <c r="Z80" i="76"/>
  <c r="X80" i="76"/>
  <c r="N80" i="76"/>
  <c r="L80" i="76"/>
  <c r="J80" i="76"/>
  <c r="B80" i="76"/>
  <c r="X79" i="76"/>
  <c r="Z79" i="76" s="1"/>
  <c r="L79" i="76"/>
  <c r="N79" i="76" s="1"/>
  <c r="J79" i="76"/>
  <c r="B79" i="76"/>
  <c r="T78" i="76"/>
  <c r="X78" i="76" s="1"/>
  <c r="Z78" i="76" s="1"/>
  <c r="P78" i="76"/>
  <c r="J78" i="76"/>
  <c r="H78" i="76"/>
  <c r="N78" i="76" s="1"/>
  <c r="D78" i="76"/>
  <c r="L78" i="76" s="1"/>
  <c r="B78" i="76"/>
  <c r="X77" i="76"/>
  <c r="Z77" i="76" s="1"/>
  <c r="L77" i="76"/>
  <c r="N77" i="76" s="1"/>
  <c r="J77" i="76"/>
  <c r="B77" i="76"/>
  <c r="X76" i="76"/>
  <c r="V76" i="76"/>
  <c r="T76" i="76"/>
  <c r="P76" i="76"/>
  <c r="J76" i="76"/>
  <c r="H76" i="76"/>
  <c r="D76" i="76"/>
  <c r="L76" i="76" s="1"/>
  <c r="N76" i="76" s="1"/>
  <c r="B76" i="76"/>
  <c r="Z75" i="76"/>
  <c r="X75" i="76"/>
  <c r="L75" i="76"/>
  <c r="N75" i="76" s="1"/>
  <c r="B75" i="76"/>
  <c r="T74" i="76"/>
  <c r="P74" i="76"/>
  <c r="N74" i="76"/>
  <c r="L74" i="76"/>
  <c r="J74" i="76"/>
  <c r="H74" i="76"/>
  <c r="D74" i="76"/>
  <c r="B74" i="76"/>
  <c r="Z73" i="76"/>
  <c r="X73" i="76"/>
  <c r="V73" i="76"/>
  <c r="L73" i="76"/>
  <c r="N73" i="76" s="1"/>
  <c r="J73" i="76"/>
  <c r="B73" i="76"/>
  <c r="T72" i="76"/>
  <c r="P72" i="76"/>
  <c r="X72" i="76" s="1"/>
  <c r="J72" i="76"/>
  <c r="H72" i="76"/>
  <c r="L72" i="76" s="1"/>
  <c r="N72" i="76" s="1"/>
  <c r="D72" i="76"/>
  <c r="B72" i="76"/>
  <c r="X71" i="76"/>
  <c r="Z71" i="76" s="1"/>
  <c r="N71" i="76"/>
  <c r="L71" i="76"/>
  <c r="J71" i="76"/>
  <c r="B71" i="76"/>
  <c r="T70" i="76"/>
  <c r="P70" i="76"/>
  <c r="X70" i="76" s="1"/>
  <c r="Z70" i="76" s="1"/>
  <c r="L70" i="76"/>
  <c r="J70" i="76"/>
  <c r="H70" i="76"/>
  <c r="N70" i="76" s="1"/>
  <c r="D70" i="76"/>
  <c r="B70" i="76"/>
  <c r="Z69" i="76"/>
  <c r="X69" i="76"/>
  <c r="N69" i="76"/>
  <c r="L69" i="76"/>
  <c r="J69" i="76"/>
  <c r="B69" i="76"/>
  <c r="Z68" i="76"/>
  <c r="X68" i="76"/>
  <c r="N68" i="76"/>
  <c r="L68" i="76"/>
  <c r="J68" i="76"/>
  <c r="B68" i="76"/>
  <c r="Z67" i="76"/>
  <c r="X67" i="76"/>
  <c r="L67" i="76"/>
  <c r="N67" i="76" s="1"/>
  <c r="B67" i="76"/>
  <c r="Z66" i="76"/>
  <c r="X66" i="76"/>
  <c r="N66" i="76"/>
  <c r="L66" i="76"/>
  <c r="J66" i="76"/>
  <c r="B66" i="76"/>
  <c r="Z65" i="76"/>
  <c r="X65" i="76"/>
  <c r="N65" i="76"/>
  <c r="L65" i="76"/>
  <c r="J65" i="76"/>
  <c r="B65" i="76"/>
  <c r="Z64" i="76"/>
  <c r="X64" i="76"/>
  <c r="N64" i="76"/>
  <c r="L64" i="76"/>
  <c r="J64" i="76"/>
  <c r="B64" i="76"/>
  <c r="Z63" i="76"/>
  <c r="X63" i="76"/>
  <c r="L63" i="76"/>
  <c r="N63" i="76" s="1"/>
  <c r="B63" i="76"/>
  <c r="Z62" i="76"/>
  <c r="X62" i="76"/>
  <c r="N62" i="76"/>
  <c r="L62" i="76"/>
  <c r="J62" i="76"/>
  <c r="B62" i="76"/>
  <c r="X61" i="76"/>
  <c r="Z61" i="76" s="1"/>
  <c r="N61" i="76"/>
  <c r="L61" i="76"/>
  <c r="J61" i="76"/>
  <c r="B61" i="76"/>
  <c r="Z60" i="76"/>
  <c r="X60" i="76"/>
  <c r="N60" i="76"/>
  <c r="L60" i="76"/>
  <c r="J60" i="76"/>
  <c r="B60" i="76"/>
  <c r="X59" i="76"/>
  <c r="Z59" i="76" s="1"/>
  <c r="T59" i="76"/>
  <c r="P59" i="76"/>
  <c r="H59" i="76"/>
  <c r="D59" i="76"/>
  <c r="B59" i="76"/>
  <c r="Z58" i="76"/>
  <c r="X58" i="76"/>
  <c r="N58" i="76"/>
  <c r="L58" i="76"/>
  <c r="J58" i="76"/>
  <c r="B58" i="76"/>
  <c r="Z57" i="76"/>
  <c r="X57" i="76"/>
  <c r="V57" i="76"/>
  <c r="L57" i="76"/>
  <c r="N57" i="76" s="1"/>
  <c r="J57" i="76"/>
  <c r="B57" i="76"/>
  <c r="Z56" i="76"/>
  <c r="X56" i="76"/>
  <c r="L56" i="76"/>
  <c r="N56" i="76" s="1"/>
  <c r="J56" i="76"/>
  <c r="B56" i="76"/>
  <c r="Z55" i="76"/>
  <c r="X55" i="76"/>
  <c r="N55" i="76"/>
  <c r="L55" i="76"/>
  <c r="J55" i="76"/>
  <c r="B55" i="76"/>
  <c r="Z54" i="76"/>
  <c r="X54" i="76"/>
  <c r="N54" i="76"/>
  <c r="L54" i="76"/>
  <c r="J54" i="76"/>
  <c r="B54" i="76"/>
  <c r="Z53" i="76"/>
  <c r="X53" i="76"/>
  <c r="V53" i="76"/>
  <c r="L53" i="76"/>
  <c r="N53" i="76" s="1"/>
  <c r="J53" i="76"/>
  <c r="B53" i="76"/>
  <c r="Z52" i="76"/>
  <c r="X52" i="76"/>
  <c r="L52" i="76"/>
  <c r="N52" i="76" s="1"/>
  <c r="J52" i="76"/>
  <c r="B52" i="76"/>
  <c r="X51" i="76"/>
  <c r="Z51" i="76" s="1"/>
  <c r="L51" i="76"/>
  <c r="N51" i="76" s="1"/>
  <c r="J51" i="76"/>
  <c r="B51" i="76"/>
  <c r="Z50" i="76"/>
  <c r="X50" i="76"/>
  <c r="N50" i="76"/>
  <c r="L50" i="76"/>
  <c r="J50" i="76"/>
  <c r="B50" i="76"/>
  <c r="Z49" i="76"/>
  <c r="X49" i="76"/>
  <c r="V49" i="76"/>
  <c r="L49" i="76"/>
  <c r="N49" i="76" s="1"/>
  <c r="J49" i="76"/>
  <c r="B49" i="76"/>
  <c r="T48" i="76"/>
  <c r="Z48" i="76" s="1"/>
  <c r="P48" i="76"/>
  <c r="X48" i="76" s="1"/>
  <c r="N48" i="76"/>
  <c r="J48" i="76"/>
  <c r="H48" i="76"/>
  <c r="L48" i="76" s="1"/>
  <c r="D48" i="76"/>
  <c r="B48" i="76"/>
  <c r="T47" i="76"/>
  <c r="P47" i="76"/>
  <c r="H47" i="76"/>
  <c r="J47" i="76" s="1"/>
  <c r="D47" i="76"/>
  <c r="L47" i="76" s="1"/>
  <c r="H45" i="76"/>
  <c r="J45" i="76" s="1"/>
  <c r="Z43" i="76"/>
  <c r="X43" i="76"/>
  <c r="N43" i="76"/>
  <c r="L43" i="76"/>
  <c r="J43" i="76"/>
  <c r="B43" i="76"/>
  <c r="Z42" i="76"/>
  <c r="X42" i="76"/>
  <c r="N42" i="76"/>
  <c r="L42" i="76"/>
  <c r="B42" i="76"/>
  <c r="Z41" i="76"/>
  <c r="X41" i="76"/>
  <c r="N41" i="76"/>
  <c r="L41" i="76"/>
  <c r="J41" i="76"/>
  <c r="B41" i="76"/>
  <c r="Z40" i="76"/>
  <c r="X40" i="76"/>
  <c r="V40" i="76"/>
  <c r="N40" i="76"/>
  <c r="L40" i="76"/>
  <c r="J40" i="76"/>
  <c r="B40" i="76"/>
  <c r="Z39" i="76"/>
  <c r="X39" i="76"/>
  <c r="N39" i="76"/>
  <c r="L39" i="76"/>
  <c r="J39" i="76"/>
  <c r="B39" i="76"/>
  <c r="Z38" i="76"/>
  <c r="X38" i="76"/>
  <c r="N38" i="76"/>
  <c r="L38" i="76"/>
  <c r="F38" i="76"/>
  <c r="B38" i="76"/>
  <c r="Z37" i="76"/>
  <c r="X37" i="76"/>
  <c r="N37" i="76"/>
  <c r="L37" i="76"/>
  <c r="J37" i="76"/>
  <c r="B37" i="76"/>
  <c r="Z36" i="76"/>
  <c r="X36" i="76"/>
  <c r="V36" i="76"/>
  <c r="N36" i="76"/>
  <c r="L36" i="76"/>
  <c r="J36" i="76"/>
  <c r="B36" i="76"/>
  <c r="Z35" i="76"/>
  <c r="X35" i="76"/>
  <c r="N35" i="76"/>
  <c r="L35" i="76"/>
  <c r="J35" i="76"/>
  <c r="B35" i="76"/>
  <c r="Z34" i="76"/>
  <c r="X34" i="76"/>
  <c r="N34" i="76"/>
  <c r="L34" i="76"/>
  <c r="F34" i="76"/>
  <c r="B34" i="76"/>
  <c r="X33" i="76"/>
  <c r="Z33" i="76" s="1"/>
  <c r="L33" i="76"/>
  <c r="N33" i="76" s="1"/>
  <c r="J33" i="76"/>
  <c r="B33" i="76"/>
  <c r="X32" i="76"/>
  <c r="V32" i="76"/>
  <c r="T32" i="76"/>
  <c r="Z32" i="76" s="1"/>
  <c r="P32" i="76"/>
  <c r="J32" i="76"/>
  <c r="H32" i="76"/>
  <c r="D32" i="76"/>
  <c r="L32" i="76" s="1"/>
  <c r="N32" i="76" s="1"/>
  <c r="Z30" i="76"/>
  <c r="P30" i="76"/>
  <c r="X30" i="76" s="1"/>
  <c r="N30" i="76"/>
  <c r="L30" i="76"/>
  <c r="D30" i="76"/>
  <c r="B30" i="76"/>
  <c r="Z29" i="76"/>
  <c r="X29" i="76"/>
  <c r="P29" i="76"/>
  <c r="N29" i="76"/>
  <c r="L29" i="76"/>
  <c r="D29" i="76"/>
  <c r="B29" i="76"/>
  <c r="Z28" i="76"/>
  <c r="P28" i="76"/>
  <c r="X28" i="76" s="1"/>
  <c r="N28" i="76"/>
  <c r="L28" i="76"/>
  <c r="D28" i="76"/>
  <c r="B28" i="76"/>
  <c r="Z27" i="76"/>
  <c r="X27" i="76"/>
  <c r="P27" i="76"/>
  <c r="N27" i="76"/>
  <c r="D27" i="76"/>
  <c r="L27" i="76" s="1"/>
  <c r="B27" i="76"/>
  <c r="Z26" i="76"/>
  <c r="P26" i="76"/>
  <c r="X26" i="76" s="1"/>
  <c r="N26" i="76"/>
  <c r="L26" i="76"/>
  <c r="D26" i="76"/>
  <c r="B26" i="76"/>
  <c r="Z25" i="76"/>
  <c r="P25" i="76"/>
  <c r="X25" i="76" s="1"/>
  <c r="N25" i="76"/>
  <c r="D25" i="76"/>
  <c r="L25" i="76" s="1"/>
  <c r="B25" i="76"/>
  <c r="Z24" i="76"/>
  <c r="P24" i="76"/>
  <c r="X24" i="76" s="1"/>
  <c r="N24" i="76"/>
  <c r="L24" i="76"/>
  <c r="D24" i="76"/>
  <c r="B24" i="76"/>
  <c r="Z23" i="76"/>
  <c r="X23" i="76"/>
  <c r="P23" i="76"/>
  <c r="N23" i="76"/>
  <c r="D23" i="76"/>
  <c r="L23" i="76" s="1"/>
  <c r="B23" i="76"/>
  <c r="Z22" i="76"/>
  <c r="P22" i="76"/>
  <c r="X22" i="76" s="1"/>
  <c r="N22" i="76"/>
  <c r="D22" i="76"/>
  <c r="L22" i="76" s="1"/>
  <c r="B22" i="76"/>
  <c r="Z21" i="76"/>
  <c r="X21" i="76"/>
  <c r="P21" i="76"/>
  <c r="N21" i="76"/>
  <c r="D21" i="76"/>
  <c r="L21" i="76" s="1"/>
  <c r="B21" i="76"/>
  <c r="Z20" i="76"/>
  <c r="X20" i="76"/>
  <c r="P20" i="76"/>
  <c r="N20" i="76"/>
  <c r="L20" i="76"/>
  <c r="D20" i="76"/>
  <c r="B20" i="76"/>
  <c r="X19" i="76"/>
  <c r="Z19" i="76" s="1"/>
  <c r="P19" i="76"/>
  <c r="D19" i="76"/>
  <c r="L19" i="76" s="1"/>
  <c r="N19" i="76" s="1"/>
  <c r="B19" i="76"/>
  <c r="Z18" i="76"/>
  <c r="P18" i="76"/>
  <c r="X18" i="76" s="1"/>
  <c r="N18" i="76"/>
  <c r="L18" i="76"/>
  <c r="D18" i="76"/>
  <c r="B18" i="76"/>
  <c r="Z17" i="76"/>
  <c r="X17" i="76"/>
  <c r="P17" i="76"/>
  <c r="N17" i="76"/>
  <c r="L17" i="76"/>
  <c r="D17" i="76"/>
  <c r="B17" i="76"/>
  <c r="Z16" i="76"/>
  <c r="P16" i="76"/>
  <c r="X16" i="76" s="1"/>
  <c r="N16" i="76"/>
  <c r="L16" i="76"/>
  <c r="D16" i="76"/>
  <c r="B16" i="76"/>
  <c r="Z15" i="76"/>
  <c r="X15" i="76"/>
  <c r="P15" i="76"/>
  <c r="N15" i="76"/>
  <c r="D15" i="76"/>
  <c r="L15" i="76" s="1"/>
  <c r="B15" i="76"/>
  <c r="Z14" i="76"/>
  <c r="P14" i="76"/>
  <c r="X14" i="76" s="1"/>
  <c r="N14" i="76"/>
  <c r="L14" i="76"/>
  <c r="D14" i="76"/>
  <c r="B14" i="76"/>
  <c r="P13" i="76"/>
  <c r="D13" i="76"/>
  <c r="L13" i="76" s="1"/>
  <c r="N13" i="76" s="1"/>
  <c r="B13" i="76"/>
  <c r="T12" i="76"/>
  <c r="V96" i="76" s="1"/>
  <c r="H12" i="76"/>
  <c r="J93" i="76" s="1"/>
  <c r="D12" i="76"/>
  <c r="D6" i="76"/>
  <c r="D4" i="76"/>
  <c r="Z82" i="75"/>
  <c r="X82" i="75"/>
  <c r="N82" i="75"/>
  <c r="L82" i="75"/>
  <c r="X78" i="75"/>
  <c r="Z78" i="75" s="1"/>
  <c r="V78" i="75"/>
  <c r="P78" i="75"/>
  <c r="L78" i="75"/>
  <c r="N78" i="75" s="1"/>
  <c r="D78" i="75"/>
  <c r="B78" i="75"/>
  <c r="V77" i="75"/>
  <c r="T77" i="75"/>
  <c r="P77" i="75"/>
  <c r="L77" i="75"/>
  <c r="H77" i="75"/>
  <c r="N77" i="75" s="1"/>
  <c r="D77" i="75"/>
  <c r="Z75" i="75"/>
  <c r="X75" i="75"/>
  <c r="N75" i="75"/>
  <c r="L75" i="75"/>
  <c r="B75" i="75"/>
  <c r="Z74" i="75"/>
  <c r="T74" i="75"/>
  <c r="P74" i="75"/>
  <c r="X74" i="75" s="1"/>
  <c r="N74" i="75"/>
  <c r="H74" i="75"/>
  <c r="L74" i="75" s="1"/>
  <c r="D74" i="75"/>
  <c r="B74" i="75"/>
  <c r="X73" i="75"/>
  <c r="Z73" i="75" s="1"/>
  <c r="L73" i="75"/>
  <c r="N73" i="75" s="1"/>
  <c r="B73" i="75"/>
  <c r="T72" i="75"/>
  <c r="P72" i="75"/>
  <c r="X72" i="75" s="1"/>
  <c r="Z72" i="75" s="1"/>
  <c r="L72" i="75"/>
  <c r="H72" i="75"/>
  <c r="N72" i="75" s="1"/>
  <c r="D72" i="75"/>
  <c r="B72" i="75"/>
  <c r="X71" i="75"/>
  <c r="Z71" i="75" s="1"/>
  <c r="N71" i="75"/>
  <c r="L71" i="75"/>
  <c r="B71" i="75"/>
  <c r="X70" i="75"/>
  <c r="Z70" i="75" s="1"/>
  <c r="N70" i="75"/>
  <c r="L70" i="75"/>
  <c r="B70" i="75"/>
  <c r="Z69" i="75"/>
  <c r="X69" i="75"/>
  <c r="L69" i="75"/>
  <c r="N69" i="75" s="1"/>
  <c r="B69" i="75"/>
  <c r="Z68" i="75"/>
  <c r="X68" i="75"/>
  <c r="N68" i="75"/>
  <c r="L68" i="75"/>
  <c r="B68" i="75"/>
  <c r="Z67" i="75"/>
  <c r="X67" i="75"/>
  <c r="N67" i="75"/>
  <c r="L67" i="75"/>
  <c r="B67" i="75"/>
  <c r="T66" i="75"/>
  <c r="P66" i="75"/>
  <c r="X66" i="75" s="1"/>
  <c r="Z66" i="75" s="1"/>
  <c r="H66" i="75"/>
  <c r="F66" i="75"/>
  <c r="D66" i="75"/>
  <c r="B66" i="75"/>
  <c r="X65" i="75"/>
  <c r="Z65" i="75" s="1"/>
  <c r="L65" i="75"/>
  <c r="N65" i="75" s="1"/>
  <c r="B65" i="75"/>
  <c r="Z64" i="75"/>
  <c r="T64" i="75"/>
  <c r="X64" i="75" s="1"/>
  <c r="P64" i="75"/>
  <c r="H64" i="75"/>
  <c r="D64" i="75"/>
  <c r="L64" i="75" s="1"/>
  <c r="N64" i="75" s="1"/>
  <c r="B64" i="75"/>
  <c r="X63" i="75"/>
  <c r="Z63" i="75" s="1"/>
  <c r="L63" i="75"/>
  <c r="N63" i="75" s="1"/>
  <c r="B63" i="75"/>
  <c r="Z62" i="75"/>
  <c r="X62" i="75"/>
  <c r="N62" i="75"/>
  <c r="L62" i="75"/>
  <c r="B62" i="75"/>
  <c r="T61" i="75"/>
  <c r="P61" i="75"/>
  <c r="X61" i="75" s="1"/>
  <c r="Z61" i="75" s="1"/>
  <c r="H61" i="75"/>
  <c r="N61" i="75" s="1"/>
  <c r="D61" i="75"/>
  <c r="L61" i="75" s="1"/>
  <c r="B61" i="75"/>
  <c r="Z60" i="75"/>
  <c r="X60" i="75"/>
  <c r="N60" i="75"/>
  <c r="L60" i="75"/>
  <c r="B60" i="75"/>
  <c r="X59" i="75"/>
  <c r="Z59" i="75" s="1"/>
  <c r="N59" i="75"/>
  <c r="L59" i="75"/>
  <c r="J59" i="75"/>
  <c r="B59" i="75"/>
  <c r="T58" i="75"/>
  <c r="P58" i="75"/>
  <c r="X58" i="75" s="1"/>
  <c r="Z58" i="75" s="1"/>
  <c r="H58" i="75"/>
  <c r="D58" i="75"/>
  <c r="B58" i="75"/>
  <c r="X57" i="75"/>
  <c r="Z57" i="75" s="1"/>
  <c r="L57" i="75"/>
  <c r="N57" i="75" s="1"/>
  <c r="B57" i="75"/>
  <c r="Z56" i="75"/>
  <c r="T56" i="75"/>
  <c r="X56" i="75" s="1"/>
  <c r="P56" i="75"/>
  <c r="H56" i="75"/>
  <c r="D56" i="75"/>
  <c r="L56" i="75" s="1"/>
  <c r="N56" i="75" s="1"/>
  <c r="B56" i="75"/>
  <c r="X55" i="75"/>
  <c r="Z55" i="75" s="1"/>
  <c r="L55" i="75"/>
  <c r="N55" i="75" s="1"/>
  <c r="B55" i="75"/>
  <c r="X54" i="75"/>
  <c r="T54" i="75"/>
  <c r="Z54" i="75" s="1"/>
  <c r="P54" i="75"/>
  <c r="H54" i="75"/>
  <c r="D54" i="75"/>
  <c r="L54" i="75" s="1"/>
  <c r="N54" i="75" s="1"/>
  <c r="B54" i="75"/>
  <c r="Z53" i="75"/>
  <c r="X53" i="75"/>
  <c r="L53" i="75"/>
  <c r="N53" i="75" s="1"/>
  <c r="B53" i="75"/>
  <c r="T52" i="75"/>
  <c r="P52" i="75"/>
  <c r="H52" i="75"/>
  <c r="D52" i="75"/>
  <c r="L52" i="75" s="1"/>
  <c r="N52" i="75" s="1"/>
  <c r="B52" i="75"/>
  <c r="Z51" i="75"/>
  <c r="X51" i="75"/>
  <c r="V51" i="75"/>
  <c r="N51" i="75"/>
  <c r="L51" i="75"/>
  <c r="B51" i="75"/>
  <c r="T50" i="75"/>
  <c r="P50" i="75"/>
  <c r="X50" i="75" s="1"/>
  <c r="Z50" i="75" s="1"/>
  <c r="N50" i="75"/>
  <c r="L50" i="75"/>
  <c r="H50" i="75"/>
  <c r="D50" i="75"/>
  <c r="B50" i="75"/>
  <c r="Z49" i="75"/>
  <c r="X49" i="75"/>
  <c r="N49" i="75"/>
  <c r="L49" i="75"/>
  <c r="B49" i="75"/>
  <c r="Z48" i="75"/>
  <c r="X48" i="75"/>
  <c r="N48" i="75"/>
  <c r="L48" i="75"/>
  <c r="B48" i="75"/>
  <c r="Z47" i="75"/>
  <c r="X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F44" i="75"/>
  <c r="B44" i="75"/>
  <c r="Z43" i="75"/>
  <c r="X43" i="75"/>
  <c r="N43" i="75"/>
  <c r="L43" i="75"/>
  <c r="B43" i="75"/>
  <c r="Z42" i="75"/>
  <c r="X42" i="75"/>
  <c r="V42" i="75"/>
  <c r="N42" i="75"/>
  <c r="L42" i="75"/>
  <c r="B42" i="75"/>
  <c r="X41" i="75"/>
  <c r="Z41" i="75" s="1"/>
  <c r="L41" i="75"/>
  <c r="N41" i="75" s="1"/>
  <c r="B41" i="75"/>
  <c r="Z40" i="75"/>
  <c r="X40" i="75"/>
  <c r="N40" i="75"/>
  <c r="L40" i="75"/>
  <c r="B40" i="75"/>
  <c r="T39" i="75"/>
  <c r="P39" i="75"/>
  <c r="X39" i="75" s="1"/>
  <c r="H39" i="75"/>
  <c r="D39" i="75"/>
  <c r="L39" i="75" s="1"/>
  <c r="N39" i="75" s="1"/>
  <c r="B39" i="75"/>
  <c r="Z38" i="75"/>
  <c r="X38" i="75"/>
  <c r="V38" i="75"/>
  <c r="N38" i="75"/>
  <c r="L38" i="75"/>
  <c r="B38" i="75"/>
  <c r="X37" i="75"/>
  <c r="Z37" i="75" s="1"/>
  <c r="L37" i="75"/>
  <c r="N37" i="75" s="1"/>
  <c r="B37" i="75"/>
  <c r="Z36" i="75"/>
  <c r="X36" i="75"/>
  <c r="N36" i="75"/>
  <c r="L36" i="75"/>
  <c r="B36" i="75"/>
  <c r="Z35" i="75"/>
  <c r="X35" i="75"/>
  <c r="N35" i="75"/>
  <c r="L35" i="75"/>
  <c r="J35" i="75"/>
  <c r="B35" i="75"/>
  <c r="X34" i="75"/>
  <c r="Z34" i="75" s="1"/>
  <c r="V34" i="75"/>
  <c r="L34" i="75"/>
  <c r="N34" i="75" s="1"/>
  <c r="B34" i="75"/>
  <c r="X33" i="75"/>
  <c r="Z33" i="75" s="1"/>
  <c r="L33" i="75"/>
  <c r="N33" i="75" s="1"/>
  <c r="B33" i="75"/>
  <c r="Z32" i="75"/>
  <c r="X32" i="75"/>
  <c r="N32" i="75"/>
  <c r="L32" i="75"/>
  <c r="B32" i="75"/>
  <c r="X31" i="75"/>
  <c r="Z31" i="75" s="1"/>
  <c r="N31" i="75"/>
  <c r="L31" i="75"/>
  <c r="B31" i="75"/>
  <c r="X30" i="75"/>
  <c r="Z30" i="75" s="1"/>
  <c r="V30" i="75"/>
  <c r="L30" i="75"/>
  <c r="N30" i="75" s="1"/>
  <c r="B30" i="75"/>
  <c r="X29" i="75"/>
  <c r="Z29" i="75" s="1"/>
  <c r="T29" i="75"/>
  <c r="P29" i="75"/>
  <c r="H29" i="75"/>
  <c r="D29" i="75"/>
  <c r="B29" i="75"/>
  <c r="T28" i="75"/>
  <c r="X28" i="75" s="1"/>
  <c r="Z28" i="75" s="1"/>
  <c r="P28" i="75"/>
  <c r="H28" i="75"/>
  <c r="D28" i="75"/>
  <c r="L28" i="75" s="1"/>
  <c r="Z24" i="75"/>
  <c r="T24" i="75"/>
  <c r="X24" i="75" s="1"/>
  <c r="P24" i="75"/>
  <c r="H24" i="75"/>
  <c r="N24" i="75" s="1"/>
  <c r="D24" i="75"/>
  <c r="L24" i="75" s="1"/>
  <c r="Z22" i="75"/>
  <c r="X22" i="75"/>
  <c r="P22" i="75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P20" i="75"/>
  <c r="X20" i="75" s="1"/>
  <c r="N20" i="75"/>
  <c r="D20" i="75"/>
  <c r="L20" i="75" s="1"/>
  <c r="B20" i="75"/>
  <c r="Z19" i="75"/>
  <c r="P19" i="75"/>
  <c r="X19" i="75" s="1"/>
  <c r="N19" i="75"/>
  <c r="L19" i="75"/>
  <c r="D19" i="75"/>
  <c r="B19" i="75"/>
  <c r="Z18" i="75"/>
  <c r="P18" i="75"/>
  <c r="X18" i="75" s="1"/>
  <c r="N18" i="75"/>
  <c r="L18" i="75"/>
  <c r="D18" i="75"/>
  <c r="B18" i="75"/>
  <c r="Z17" i="75"/>
  <c r="X17" i="75"/>
  <c r="P17" i="75"/>
  <c r="D17" i="75"/>
  <c r="L17" i="75" s="1"/>
  <c r="N17" i="75" s="1"/>
  <c r="B17" i="75"/>
  <c r="Z16" i="75"/>
  <c r="P16" i="75"/>
  <c r="X16" i="75" s="1"/>
  <c r="N16" i="75"/>
  <c r="D16" i="75"/>
  <c r="L16" i="75" s="1"/>
  <c r="B16" i="75"/>
  <c r="Z15" i="75"/>
  <c r="P15" i="75"/>
  <c r="N15" i="75"/>
  <c r="D15" i="75"/>
  <c r="L15" i="75" s="1"/>
  <c r="B15" i="75"/>
  <c r="Z14" i="75"/>
  <c r="X14" i="75"/>
  <c r="P14" i="75"/>
  <c r="N14" i="75"/>
  <c r="L14" i="75"/>
  <c r="D14" i="75"/>
  <c r="B14" i="75"/>
  <c r="Z13" i="75"/>
  <c r="X13" i="75"/>
  <c r="P13" i="75"/>
  <c r="D13" i="75"/>
  <c r="D12" i="75" s="1"/>
  <c r="F58" i="75" s="1"/>
  <c r="B13" i="75"/>
  <c r="T12" i="75"/>
  <c r="V54" i="75" s="1"/>
  <c r="H12" i="75"/>
  <c r="D6" i="75"/>
  <c r="D4" i="75"/>
  <c r="Z149" i="74"/>
  <c r="X149" i="74"/>
  <c r="N149" i="74"/>
  <c r="L149" i="74"/>
  <c r="Z145" i="74"/>
  <c r="P145" i="74"/>
  <c r="X145" i="74" s="1"/>
  <c r="N145" i="74"/>
  <c r="D145" i="74"/>
  <c r="L145" i="74" s="1"/>
  <c r="B145" i="74"/>
  <c r="Z144" i="74"/>
  <c r="X144" i="74"/>
  <c r="P144" i="74"/>
  <c r="N144" i="74"/>
  <c r="L144" i="74"/>
  <c r="D144" i="74"/>
  <c r="B144" i="74"/>
  <c r="X143" i="74"/>
  <c r="Z143" i="74" s="1"/>
  <c r="P143" i="74"/>
  <c r="L143" i="74"/>
  <c r="N143" i="74" s="1"/>
  <c r="D143" i="74"/>
  <c r="D142" i="74" s="1"/>
  <c r="L142" i="74" s="1"/>
  <c r="N142" i="74" s="1"/>
  <c r="B143" i="74"/>
  <c r="T142" i="74"/>
  <c r="P142" i="74"/>
  <c r="X142" i="74" s="1"/>
  <c r="Z142" i="74" s="1"/>
  <c r="H142" i="74"/>
  <c r="Z140" i="74"/>
  <c r="X140" i="74"/>
  <c r="N140" i="74"/>
  <c r="L140" i="74"/>
  <c r="B140" i="74"/>
  <c r="X139" i="74"/>
  <c r="Z139" i="74" s="1"/>
  <c r="L139" i="74"/>
  <c r="N139" i="74" s="1"/>
  <c r="B139" i="74"/>
  <c r="V138" i="74"/>
  <c r="T138" i="74"/>
  <c r="P138" i="74"/>
  <c r="X138" i="74" s="1"/>
  <c r="Z138" i="74" s="1"/>
  <c r="H138" i="74"/>
  <c r="D138" i="74"/>
  <c r="L138" i="74" s="1"/>
  <c r="N138" i="74" s="1"/>
  <c r="B138" i="74"/>
  <c r="X137" i="74"/>
  <c r="Z137" i="74" s="1"/>
  <c r="N137" i="74"/>
  <c r="L137" i="74"/>
  <c r="B137" i="74"/>
  <c r="X136" i="74"/>
  <c r="T136" i="74"/>
  <c r="P136" i="74"/>
  <c r="L136" i="74"/>
  <c r="N136" i="74" s="1"/>
  <c r="H136" i="74"/>
  <c r="D136" i="74"/>
  <c r="B136" i="74"/>
  <c r="X135" i="74"/>
  <c r="Z135" i="74" s="1"/>
  <c r="L135" i="74"/>
  <c r="N135" i="74" s="1"/>
  <c r="B135" i="74"/>
  <c r="X134" i="74"/>
  <c r="Z134" i="74" s="1"/>
  <c r="N134" i="74"/>
  <c r="L134" i="74"/>
  <c r="B134" i="74"/>
  <c r="Z133" i="74"/>
  <c r="X133" i="74"/>
  <c r="N133" i="74"/>
  <c r="L133" i="74"/>
  <c r="J133" i="74"/>
  <c r="B133" i="74"/>
  <c r="Z132" i="74"/>
  <c r="X132" i="74"/>
  <c r="N132" i="74"/>
  <c r="L132" i="74"/>
  <c r="B132" i="74"/>
  <c r="Z131" i="74"/>
  <c r="X131" i="74"/>
  <c r="L131" i="74"/>
  <c r="N131" i="74" s="1"/>
  <c r="B131" i="74"/>
  <c r="X130" i="74"/>
  <c r="Z130" i="74" s="1"/>
  <c r="L130" i="74"/>
  <c r="N130" i="74" s="1"/>
  <c r="B130" i="74"/>
  <c r="Z129" i="74"/>
  <c r="X129" i="74"/>
  <c r="N129" i="74"/>
  <c r="L129" i="74"/>
  <c r="B129" i="74"/>
  <c r="V128" i="74"/>
  <c r="T128" i="74"/>
  <c r="P128" i="74"/>
  <c r="L128" i="74"/>
  <c r="N128" i="74" s="1"/>
  <c r="H128" i="74"/>
  <c r="D128" i="74"/>
  <c r="B128" i="74"/>
  <c r="Z127" i="74"/>
  <c r="X127" i="74"/>
  <c r="V127" i="74"/>
  <c r="N127" i="74"/>
  <c r="L127" i="74"/>
  <c r="B127" i="74"/>
  <c r="X126" i="74"/>
  <c r="Z126" i="74" s="1"/>
  <c r="N126" i="74"/>
  <c r="L126" i="74"/>
  <c r="B126" i="74"/>
  <c r="T125" i="74"/>
  <c r="P125" i="74"/>
  <c r="H125" i="74"/>
  <c r="N125" i="74" s="1"/>
  <c r="D125" i="74"/>
  <c r="B125" i="74"/>
  <c r="X124" i="74"/>
  <c r="Z124" i="74" s="1"/>
  <c r="N124" i="74"/>
  <c r="L124" i="74"/>
  <c r="B124" i="74"/>
  <c r="X123" i="74"/>
  <c r="Z123" i="74" s="1"/>
  <c r="L123" i="74"/>
  <c r="N123" i="74" s="1"/>
  <c r="B123" i="74"/>
  <c r="Z122" i="74"/>
  <c r="X122" i="74"/>
  <c r="L122" i="74"/>
  <c r="N122" i="74" s="1"/>
  <c r="B122" i="74"/>
  <c r="Z121" i="74"/>
  <c r="T121" i="74"/>
  <c r="P121" i="74"/>
  <c r="X121" i="74" s="1"/>
  <c r="L121" i="74"/>
  <c r="N121" i="74" s="1"/>
  <c r="H121" i="74"/>
  <c r="D121" i="74"/>
  <c r="B121" i="74"/>
  <c r="Z120" i="74"/>
  <c r="X120" i="74"/>
  <c r="N120" i="74"/>
  <c r="L120" i="74"/>
  <c r="B120" i="74"/>
  <c r="V119" i="74"/>
  <c r="T119" i="74"/>
  <c r="P119" i="74"/>
  <c r="X119" i="74" s="1"/>
  <c r="N119" i="74"/>
  <c r="L119" i="74"/>
  <c r="H119" i="74"/>
  <c r="D119" i="74"/>
  <c r="B119" i="74"/>
  <c r="Z118" i="74"/>
  <c r="X118" i="74"/>
  <c r="V118" i="74"/>
  <c r="N118" i="74"/>
  <c r="L118" i="74"/>
  <c r="B118" i="74"/>
  <c r="T117" i="74"/>
  <c r="Z117" i="74" s="1"/>
  <c r="P117" i="74"/>
  <c r="X117" i="74" s="1"/>
  <c r="H117" i="74"/>
  <c r="N117" i="74" s="1"/>
  <c r="D117" i="74"/>
  <c r="L117" i="74" s="1"/>
  <c r="B117" i="74"/>
  <c r="X116" i="74"/>
  <c r="Z116" i="74" s="1"/>
  <c r="N116" i="74"/>
  <c r="L116" i="74"/>
  <c r="B116" i="74"/>
  <c r="Z115" i="74"/>
  <c r="X115" i="74"/>
  <c r="T115" i="74"/>
  <c r="P115" i="74"/>
  <c r="H115" i="74"/>
  <c r="D115" i="74"/>
  <c r="B115" i="74"/>
  <c r="Z114" i="74"/>
  <c r="X114" i="74"/>
  <c r="N114" i="74"/>
  <c r="L114" i="74"/>
  <c r="B114" i="74"/>
  <c r="Z113" i="74"/>
  <c r="X113" i="74"/>
  <c r="T113" i="74"/>
  <c r="P113" i="74"/>
  <c r="H113" i="74"/>
  <c r="L113" i="74" s="1"/>
  <c r="D113" i="74"/>
  <c r="B113" i="74"/>
  <c r="X112" i="74"/>
  <c r="Z112" i="74" s="1"/>
  <c r="L112" i="74"/>
  <c r="N112" i="74" s="1"/>
  <c r="B112" i="74"/>
  <c r="Z111" i="74"/>
  <c r="X111" i="74"/>
  <c r="N111" i="74"/>
  <c r="L111" i="74"/>
  <c r="B111" i="74"/>
  <c r="X110" i="74"/>
  <c r="Z110" i="74" s="1"/>
  <c r="T110" i="74"/>
  <c r="P110" i="74"/>
  <c r="H110" i="74"/>
  <c r="D110" i="74"/>
  <c r="L110" i="74" s="1"/>
  <c r="B110" i="74"/>
  <c r="Z109" i="74"/>
  <c r="X109" i="74"/>
  <c r="N109" i="74"/>
  <c r="L109" i="74"/>
  <c r="B109" i="74"/>
  <c r="T108" i="74"/>
  <c r="P108" i="74"/>
  <c r="N108" i="74"/>
  <c r="L108" i="74"/>
  <c r="H108" i="74"/>
  <c r="D108" i="74"/>
  <c r="B108" i="74"/>
  <c r="X107" i="74"/>
  <c r="Z107" i="74" s="1"/>
  <c r="L107" i="74"/>
  <c r="N107" i="74" s="1"/>
  <c r="J107" i="74"/>
  <c r="B107" i="74"/>
  <c r="X106" i="74"/>
  <c r="Z106" i="74" s="1"/>
  <c r="T106" i="74"/>
  <c r="P106" i="74"/>
  <c r="H106" i="74"/>
  <c r="D106" i="74"/>
  <c r="L106" i="74" s="1"/>
  <c r="N106" i="74" s="1"/>
  <c r="B106" i="74"/>
  <c r="Z105" i="74"/>
  <c r="X105" i="74"/>
  <c r="N105" i="74"/>
  <c r="L105" i="74"/>
  <c r="B105" i="74"/>
  <c r="X104" i="74"/>
  <c r="V104" i="74"/>
  <c r="T104" i="74"/>
  <c r="Z104" i="74" s="1"/>
  <c r="P104" i="74"/>
  <c r="N104" i="74"/>
  <c r="L104" i="74"/>
  <c r="H104" i="74"/>
  <c r="D104" i="74"/>
  <c r="B104" i="74"/>
  <c r="Z103" i="74"/>
  <c r="X103" i="74"/>
  <c r="V103" i="74"/>
  <c r="N103" i="74"/>
  <c r="L103" i="74"/>
  <c r="B103" i="74"/>
  <c r="T102" i="74"/>
  <c r="Z102" i="74" s="1"/>
  <c r="P102" i="74"/>
  <c r="X102" i="74" s="1"/>
  <c r="L102" i="74"/>
  <c r="H102" i="74"/>
  <c r="N102" i="74" s="1"/>
  <c r="D102" i="74"/>
  <c r="B102" i="74"/>
  <c r="Z101" i="74"/>
  <c r="X101" i="74"/>
  <c r="N101" i="74"/>
  <c r="L101" i="74"/>
  <c r="B101" i="74"/>
  <c r="Z100" i="74"/>
  <c r="T100" i="74"/>
  <c r="P100" i="74"/>
  <c r="X100" i="74" s="1"/>
  <c r="H100" i="74"/>
  <c r="D100" i="74"/>
  <c r="L100" i="74" s="1"/>
  <c r="N100" i="74" s="1"/>
  <c r="B100" i="74"/>
  <c r="Z99" i="74"/>
  <c r="X99" i="74"/>
  <c r="N99" i="74"/>
  <c r="L99" i="74"/>
  <c r="B99" i="74"/>
  <c r="Z98" i="74"/>
  <c r="X98" i="74"/>
  <c r="V98" i="74"/>
  <c r="N98" i="74"/>
  <c r="L98" i="74"/>
  <c r="B98" i="74"/>
  <c r="Z97" i="74"/>
  <c r="X97" i="74"/>
  <c r="L97" i="74"/>
  <c r="N97" i="74" s="1"/>
  <c r="B97" i="74"/>
  <c r="Z96" i="74"/>
  <c r="X96" i="74"/>
  <c r="N96" i="74"/>
  <c r="L96" i="74"/>
  <c r="B96" i="74"/>
  <c r="Z95" i="74"/>
  <c r="X95" i="74"/>
  <c r="N95" i="74"/>
  <c r="L95" i="74"/>
  <c r="B95" i="74"/>
  <c r="Z94" i="74"/>
  <c r="X94" i="74"/>
  <c r="N94" i="74"/>
  <c r="L94" i="74"/>
  <c r="J94" i="74"/>
  <c r="B94" i="74"/>
  <c r="Z93" i="74"/>
  <c r="X93" i="74"/>
  <c r="L93" i="74"/>
  <c r="N93" i="74" s="1"/>
  <c r="B93" i="74"/>
  <c r="Z92" i="74"/>
  <c r="X92" i="74"/>
  <c r="N92" i="74"/>
  <c r="L92" i="74"/>
  <c r="B92" i="74"/>
  <c r="X91" i="74"/>
  <c r="Z91" i="74" s="1"/>
  <c r="N91" i="74"/>
  <c r="L91" i="74"/>
  <c r="B91" i="74"/>
  <c r="Z90" i="74"/>
  <c r="X90" i="74"/>
  <c r="N90" i="74"/>
  <c r="L90" i="74"/>
  <c r="B90" i="74"/>
  <c r="V89" i="74"/>
  <c r="T89" i="74"/>
  <c r="P89" i="74"/>
  <c r="L89" i="74"/>
  <c r="H89" i="74"/>
  <c r="D89" i="74"/>
  <c r="B89" i="74"/>
  <c r="X88" i="74"/>
  <c r="Z88" i="74" s="1"/>
  <c r="V88" i="74"/>
  <c r="N88" i="74"/>
  <c r="L88" i="74"/>
  <c r="B88" i="74"/>
  <c r="Z87" i="74"/>
  <c r="X87" i="74"/>
  <c r="N87" i="74"/>
  <c r="L87" i="74"/>
  <c r="B87" i="74"/>
  <c r="Z86" i="74"/>
  <c r="X86" i="74"/>
  <c r="N86" i="74"/>
  <c r="L86" i="74"/>
  <c r="B86" i="74"/>
  <c r="Z85" i="74"/>
  <c r="X85" i="74"/>
  <c r="N85" i="74"/>
  <c r="L85" i="74"/>
  <c r="B85" i="74"/>
  <c r="X84" i="74"/>
  <c r="Z84" i="74" s="1"/>
  <c r="N84" i="74"/>
  <c r="L84" i="74"/>
  <c r="J84" i="74"/>
  <c r="B84" i="74"/>
  <c r="Z83" i="74"/>
  <c r="X83" i="74"/>
  <c r="L83" i="74"/>
  <c r="N83" i="74" s="1"/>
  <c r="B83" i="74"/>
  <c r="X82" i="74"/>
  <c r="Z82" i="74" s="1"/>
  <c r="V82" i="74"/>
  <c r="N82" i="74"/>
  <c r="L82" i="74"/>
  <c r="B82" i="74"/>
  <c r="Z81" i="74"/>
  <c r="X81" i="74"/>
  <c r="N81" i="74"/>
  <c r="L81" i="74"/>
  <c r="J81" i="74"/>
  <c r="B81" i="74"/>
  <c r="X80" i="74"/>
  <c r="Z80" i="74" s="1"/>
  <c r="N80" i="74"/>
  <c r="L80" i="74"/>
  <c r="B80" i="74"/>
  <c r="X79" i="74"/>
  <c r="Z79" i="74" s="1"/>
  <c r="V79" i="74"/>
  <c r="T79" i="74"/>
  <c r="P79" i="74"/>
  <c r="H79" i="74"/>
  <c r="D79" i="74"/>
  <c r="L79" i="74" s="1"/>
  <c r="N79" i="74" s="1"/>
  <c r="B79" i="74"/>
  <c r="T78" i="74"/>
  <c r="P78" i="74"/>
  <c r="H78" i="74"/>
  <c r="D78" i="74"/>
  <c r="Z74" i="74"/>
  <c r="X74" i="74"/>
  <c r="N74" i="74"/>
  <c r="L74" i="74"/>
  <c r="J74" i="74"/>
  <c r="B74" i="74"/>
  <c r="Z73" i="74"/>
  <c r="X73" i="74"/>
  <c r="N73" i="74"/>
  <c r="L73" i="74"/>
  <c r="B73" i="74"/>
  <c r="Z72" i="74"/>
  <c r="X72" i="74"/>
  <c r="V72" i="74"/>
  <c r="N72" i="74"/>
  <c r="L72" i="74"/>
  <c r="B72" i="74"/>
  <c r="Z71" i="74"/>
  <c r="X71" i="74"/>
  <c r="N71" i="74"/>
  <c r="L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V65" i="74"/>
  <c r="N65" i="74"/>
  <c r="L65" i="74"/>
  <c r="B65" i="74"/>
  <c r="Z64" i="74"/>
  <c r="X64" i="74"/>
  <c r="N64" i="74"/>
  <c r="L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N58" i="74"/>
  <c r="L58" i="74"/>
  <c r="B58" i="74"/>
  <c r="Z57" i="74"/>
  <c r="X57" i="74"/>
  <c r="N57" i="74"/>
  <c r="L57" i="74"/>
  <c r="J57" i="74"/>
  <c r="B57" i="74"/>
  <c r="Z56" i="74"/>
  <c r="X56" i="74"/>
  <c r="V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X53" i="74"/>
  <c r="Z53" i="74" s="1"/>
  <c r="N53" i="74"/>
  <c r="L53" i="74"/>
  <c r="B53" i="74"/>
  <c r="Z52" i="74"/>
  <c r="T52" i="74"/>
  <c r="P52" i="74"/>
  <c r="X52" i="74" s="1"/>
  <c r="H52" i="74"/>
  <c r="D52" i="74"/>
  <c r="L52" i="74" s="1"/>
  <c r="Z50" i="74"/>
  <c r="P50" i="74"/>
  <c r="X50" i="74" s="1"/>
  <c r="N50" i="74"/>
  <c r="D50" i="74"/>
  <c r="L50" i="74" s="1"/>
  <c r="B50" i="74"/>
  <c r="Z49" i="74"/>
  <c r="P49" i="74"/>
  <c r="X49" i="74" s="1"/>
  <c r="N49" i="74"/>
  <c r="L49" i="74"/>
  <c r="D49" i="74"/>
  <c r="B49" i="74"/>
  <c r="Z48" i="74"/>
  <c r="X48" i="74"/>
  <c r="P48" i="74"/>
  <c r="N48" i="74"/>
  <c r="L48" i="74"/>
  <c r="D48" i="74"/>
  <c r="B48" i="74"/>
  <c r="Z47" i="74"/>
  <c r="P47" i="74"/>
  <c r="X47" i="74" s="1"/>
  <c r="N47" i="74"/>
  <c r="D47" i="74"/>
  <c r="L47" i="74" s="1"/>
  <c r="B47" i="74"/>
  <c r="Z46" i="74"/>
  <c r="X46" i="74"/>
  <c r="P46" i="74"/>
  <c r="N46" i="74"/>
  <c r="D46" i="74"/>
  <c r="L46" i="74" s="1"/>
  <c r="B46" i="74"/>
  <c r="Z45" i="74"/>
  <c r="X45" i="74"/>
  <c r="P45" i="74"/>
  <c r="N45" i="74"/>
  <c r="L45" i="74"/>
  <c r="D45" i="74"/>
  <c r="B45" i="74"/>
  <c r="Z44" i="74"/>
  <c r="X44" i="74"/>
  <c r="P44" i="74"/>
  <c r="N44" i="74"/>
  <c r="L44" i="74"/>
  <c r="D44" i="74"/>
  <c r="B44" i="74"/>
  <c r="Z43" i="74"/>
  <c r="P43" i="74"/>
  <c r="X43" i="74" s="1"/>
  <c r="N43" i="74"/>
  <c r="D43" i="74"/>
  <c r="L43" i="74" s="1"/>
  <c r="B43" i="74"/>
  <c r="Z42" i="74"/>
  <c r="P42" i="74"/>
  <c r="X42" i="74" s="1"/>
  <c r="N42" i="74"/>
  <c r="L42" i="74"/>
  <c r="D42" i="74"/>
  <c r="B42" i="74"/>
  <c r="Z41" i="74"/>
  <c r="P41" i="74"/>
  <c r="X41" i="74" s="1"/>
  <c r="N41" i="74"/>
  <c r="D41" i="74"/>
  <c r="L41" i="74" s="1"/>
  <c r="B41" i="74"/>
  <c r="Z40" i="74"/>
  <c r="P40" i="74"/>
  <c r="X40" i="74" s="1"/>
  <c r="N40" i="74"/>
  <c r="D40" i="74"/>
  <c r="L40" i="74" s="1"/>
  <c r="B40" i="74"/>
  <c r="Z39" i="74"/>
  <c r="X39" i="74"/>
  <c r="P39" i="74"/>
  <c r="N39" i="74"/>
  <c r="D39" i="74"/>
  <c r="L39" i="74" s="1"/>
  <c r="B39" i="74"/>
  <c r="Z38" i="74"/>
  <c r="P38" i="74"/>
  <c r="X38" i="74" s="1"/>
  <c r="N38" i="74"/>
  <c r="L38" i="74"/>
  <c r="D38" i="74"/>
  <c r="B38" i="74"/>
  <c r="Z37" i="74"/>
  <c r="P37" i="74"/>
  <c r="X37" i="74" s="1"/>
  <c r="N37" i="74"/>
  <c r="L37" i="74"/>
  <c r="D37" i="74"/>
  <c r="B37" i="74"/>
  <c r="Z36" i="74"/>
  <c r="P36" i="74"/>
  <c r="X36" i="74" s="1"/>
  <c r="N36" i="74"/>
  <c r="D36" i="74"/>
  <c r="L36" i="74" s="1"/>
  <c r="B36" i="74"/>
  <c r="Z35" i="74"/>
  <c r="P35" i="74"/>
  <c r="X35" i="74" s="1"/>
  <c r="N35" i="74"/>
  <c r="D35" i="74"/>
  <c r="L35" i="74" s="1"/>
  <c r="B35" i="74"/>
  <c r="Z34" i="74"/>
  <c r="X34" i="74"/>
  <c r="P34" i="74"/>
  <c r="N34" i="74"/>
  <c r="L34" i="74"/>
  <c r="D34" i="74"/>
  <c r="B34" i="74"/>
  <c r="Z33" i="74"/>
  <c r="X33" i="74"/>
  <c r="P33" i="74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L31" i="74"/>
  <c r="D31" i="74"/>
  <c r="B31" i="74"/>
  <c r="Z30" i="74"/>
  <c r="P30" i="74"/>
  <c r="X30" i="74" s="1"/>
  <c r="N30" i="74"/>
  <c r="L30" i="74"/>
  <c r="D30" i="74"/>
  <c r="B30" i="74"/>
  <c r="Z29" i="74"/>
  <c r="P29" i="74"/>
  <c r="X29" i="74" s="1"/>
  <c r="N29" i="74"/>
  <c r="D29" i="74"/>
  <c r="L29" i="74" s="1"/>
  <c r="B29" i="74"/>
  <c r="Z28" i="74"/>
  <c r="P28" i="74"/>
  <c r="X28" i="74" s="1"/>
  <c r="N28" i="74"/>
  <c r="L28" i="74"/>
  <c r="D28" i="74"/>
  <c r="B28" i="74"/>
  <c r="Z27" i="74"/>
  <c r="P27" i="74"/>
  <c r="X27" i="74" s="1"/>
  <c r="N27" i="74"/>
  <c r="D27" i="74"/>
  <c r="L27" i="74" s="1"/>
  <c r="B27" i="74"/>
  <c r="Z26" i="74"/>
  <c r="P26" i="74"/>
  <c r="X26" i="74" s="1"/>
  <c r="N26" i="74"/>
  <c r="D26" i="74"/>
  <c r="L26" i="74" s="1"/>
  <c r="B26" i="74"/>
  <c r="Z25" i="74"/>
  <c r="X25" i="74"/>
  <c r="P25" i="74"/>
  <c r="N25" i="74"/>
  <c r="D25" i="74"/>
  <c r="L25" i="74" s="1"/>
  <c r="B25" i="74"/>
  <c r="Z24" i="74"/>
  <c r="X24" i="74"/>
  <c r="P24" i="74"/>
  <c r="N24" i="74"/>
  <c r="D24" i="74"/>
  <c r="L24" i="74" s="1"/>
  <c r="B24" i="74"/>
  <c r="Z23" i="74"/>
  <c r="X23" i="74"/>
  <c r="P23" i="74"/>
  <c r="N23" i="74"/>
  <c r="D23" i="74"/>
  <c r="L23" i="74" s="1"/>
  <c r="B23" i="74"/>
  <c r="Z22" i="74"/>
  <c r="X22" i="74"/>
  <c r="P22" i="74"/>
  <c r="N22" i="74"/>
  <c r="L22" i="74"/>
  <c r="D22" i="74"/>
  <c r="B22" i="74"/>
  <c r="Z21" i="74"/>
  <c r="X21" i="74"/>
  <c r="P21" i="74"/>
  <c r="N21" i="74"/>
  <c r="L21" i="74"/>
  <c r="D21" i="74"/>
  <c r="B21" i="74"/>
  <c r="Z20" i="74"/>
  <c r="P20" i="74"/>
  <c r="X20" i="74" s="1"/>
  <c r="N20" i="74"/>
  <c r="L20" i="74"/>
  <c r="D20" i="74"/>
  <c r="B20" i="74"/>
  <c r="Z19" i="74"/>
  <c r="X19" i="74"/>
  <c r="P19" i="74"/>
  <c r="N19" i="74"/>
  <c r="L19" i="74"/>
  <c r="D19" i="74"/>
  <c r="B19" i="74"/>
  <c r="Z18" i="74"/>
  <c r="P18" i="74"/>
  <c r="X18" i="74" s="1"/>
  <c r="N18" i="74"/>
  <c r="L18" i="74"/>
  <c r="D18" i="74"/>
  <c r="B18" i="74"/>
  <c r="Z17" i="74"/>
  <c r="P17" i="74"/>
  <c r="X17" i="74" s="1"/>
  <c r="N17" i="74"/>
  <c r="L17" i="74"/>
  <c r="D17" i="74"/>
  <c r="B17" i="74"/>
  <c r="Z16" i="74"/>
  <c r="P16" i="74"/>
  <c r="X16" i="74" s="1"/>
  <c r="N16" i="74"/>
  <c r="L16" i="74"/>
  <c r="D16" i="74"/>
  <c r="B16" i="74"/>
  <c r="Z15" i="74"/>
  <c r="P15" i="74"/>
  <c r="N15" i="74"/>
  <c r="D15" i="74"/>
  <c r="L15" i="74" s="1"/>
  <c r="B15" i="74"/>
  <c r="Z14" i="74"/>
  <c r="P14" i="74"/>
  <c r="X14" i="74" s="1"/>
  <c r="N14" i="74"/>
  <c r="D14" i="74"/>
  <c r="L14" i="74" s="1"/>
  <c r="B14" i="74"/>
  <c r="X13" i="74"/>
  <c r="Z13" i="74" s="1"/>
  <c r="P13" i="74"/>
  <c r="D13" i="74"/>
  <c r="L13" i="74" s="1"/>
  <c r="N13" i="74" s="1"/>
  <c r="B13" i="74"/>
  <c r="T12" i="74"/>
  <c r="V142" i="74" s="1"/>
  <c r="H12" i="74"/>
  <c r="J145" i="74" s="1"/>
  <c r="D6" i="74"/>
  <c r="D4" i="74"/>
  <c r="X72" i="72"/>
  <c r="Z72" i="72" s="1"/>
  <c r="V72" i="72"/>
  <c r="N72" i="72"/>
  <c r="L72" i="72"/>
  <c r="J72" i="72"/>
  <c r="T68" i="72"/>
  <c r="Z68" i="72" s="1"/>
  <c r="P68" i="72"/>
  <c r="X68" i="72" s="1"/>
  <c r="N68" i="72"/>
  <c r="L68" i="72"/>
  <c r="J68" i="72"/>
  <c r="H68" i="72"/>
  <c r="D68" i="72"/>
  <c r="Z66" i="72"/>
  <c r="X66" i="72"/>
  <c r="N66" i="72"/>
  <c r="L66" i="72"/>
  <c r="J66" i="72"/>
  <c r="B66" i="72"/>
  <c r="X65" i="72"/>
  <c r="T65" i="72"/>
  <c r="Z65" i="72" s="1"/>
  <c r="P65" i="72"/>
  <c r="H65" i="72"/>
  <c r="D65" i="72"/>
  <c r="B65" i="72"/>
  <c r="Z64" i="72"/>
  <c r="X64" i="72"/>
  <c r="N64" i="72"/>
  <c r="L64" i="72"/>
  <c r="B64" i="72"/>
  <c r="T63" i="72"/>
  <c r="Z63" i="72" s="1"/>
  <c r="P63" i="72"/>
  <c r="X63" i="72" s="1"/>
  <c r="N63" i="72"/>
  <c r="J63" i="72"/>
  <c r="H63" i="72"/>
  <c r="D63" i="72"/>
  <c r="L63" i="72" s="1"/>
  <c r="B63" i="72"/>
  <c r="Z62" i="72"/>
  <c r="X62" i="72"/>
  <c r="N62" i="72"/>
  <c r="L62" i="72"/>
  <c r="J62" i="72"/>
  <c r="B62" i="72"/>
  <c r="X61" i="72"/>
  <c r="Z61" i="72" s="1"/>
  <c r="L61" i="72"/>
  <c r="N61" i="72" s="1"/>
  <c r="B61" i="72"/>
  <c r="T60" i="72"/>
  <c r="P60" i="72"/>
  <c r="J60" i="72"/>
  <c r="H60" i="72"/>
  <c r="D60" i="72"/>
  <c r="L60" i="72" s="1"/>
  <c r="N60" i="72" s="1"/>
  <c r="B60" i="72"/>
  <c r="Z59" i="72"/>
  <c r="X59" i="72"/>
  <c r="V59" i="72"/>
  <c r="N59" i="72"/>
  <c r="L59" i="72"/>
  <c r="J59" i="72"/>
  <c r="B59" i="72"/>
  <c r="Z58" i="72"/>
  <c r="X58" i="72"/>
  <c r="L58" i="72"/>
  <c r="N58" i="72" s="1"/>
  <c r="J58" i="72"/>
  <c r="B58" i="72"/>
  <c r="Z57" i="72"/>
  <c r="X57" i="72"/>
  <c r="N57" i="72"/>
  <c r="L57" i="72"/>
  <c r="J57" i="72"/>
  <c r="B57" i="72"/>
  <c r="Z56" i="72"/>
  <c r="X56" i="72"/>
  <c r="T56" i="72"/>
  <c r="P56" i="72"/>
  <c r="H56" i="72"/>
  <c r="N56" i="72" s="1"/>
  <c r="D56" i="72"/>
  <c r="L56" i="72" s="1"/>
  <c r="B56" i="72"/>
  <c r="Z55" i="72"/>
  <c r="X55" i="72"/>
  <c r="L55" i="72"/>
  <c r="N55" i="72" s="1"/>
  <c r="J55" i="72"/>
  <c r="B55" i="72"/>
  <c r="X54" i="72"/>
  <c r="V54" i="72"/>
  <c r="T54" i="72"/>
  <c r="Z54" i="72" s="1"/>
  <c r="P54" i="72"/>
  <c r="J54" i="72"/>
  <c r="H54" i="72"/>
  <c r="D54" i="72"/>
  <c r="L54" i="72" s="1"/>
  <c r="N54" i="72" s="1"/>
  <c r="B54" i="72"/>
  <c r="Z53" i="72"/>
  <c r="X53" i="72"/>
  <c r="L53" i="72"/>
  <c r="N53" i="72" s="1"/>
  <c r="B53" i="72"/>
  <c r="Z52" i="72"/>
  <c r="X52" i="72"/>
  <c r="N52" i="72"/>
  <c r="L52" i="72"/>
  <c r="J52" i="72"/>
  <c r="B52" i="72"/>
  <c r="X51" i="72"/>
  <c r="T51" i="72"/>
  <c r="Z51" i="72" s="1"/>
  <c r="P51" i="72"/>
  <c r="L51" i="72"/>
  <c r="N51" i="72" s="1"/>
  <c r="J51" i="72"/>
  <c r="H51" i="72"/>
  <c r="D51" i="72"/>
  <c r="B51" i="72"/>
  <c r="X50" i="72"/>
  <c r="Z50" i="72" s="1"/>
  <c r="N50" i="72"/>
  <c r="L50" i="72"/>
  <c r="J50" i="72"/>
  <c r="B50" i="72"/>
  <c r="X49" i="72"/>
  <c r="T49" i="72"/>
  <c r="Z49" i="72" s="1"/>
  <c r="P49" i="72"/>
  <c r="J49" i="72"/>
  <c r="H49" i="72"/>
  <c r="N49" i="72" s="1"/>
  <c r="D49" i="72"/>
  <c r="L49" i="72" s="1"/>
  <c r="B49" i="72"/>
  <c r="Z48" i="72"/>
  <c r="X48" i="72"/>
  <c r="N48" i="72"/>
  <c r="L48" i="72"/>
  <c r="F48" i="72"/>
  <c r="B48" i="72"/>
  <c r="T47" i="72"/>
  <c r="Z47" i="72" s="1"/>
  <c r="P47" i="72"/>
  <c r="X47" i="72" s="1"/>
  <c r="N47" i="72"/>
  <c r="J47" i="72"/>
  <c r="H47" i="72"/>
  <c r="F47" i="72"/>
  <c r="D47" i="72"/>
  <c r="L47" i="72" s="1"/>
  <c r="B47" i="72"/>
  <c r="Z46" i="72"/>
  <c r="X46" i="72"/>
  <c r="L46" i="72"/>
  <c r="N46" i="72" s="1"/>
  <c r="J46" i="72"/>
  <c r="B46" i="72"/>
  <c r="Z45" i="72"/>
  <c r="X45" i="72"/>
  <c r="T45" i="72"/>
  <c r="P45" i="72"/>
  <c r="L45" i="72"/>
  <c r="J45" i="72"/>
  <c r="H45" i="72"/>
  <c r="N45" i="72" s="1"/>
  <c r="D45" i="72"/>
  <c r="B45" i="72"/>
  <c r="Z44" i="72"/>
  <c r="X44" i="72"/>
  <c r="N44" i="72"/>
  <c r="L44" i="72"/>
  <c r="J44" i="72"/>
  <c r="B44" i="72"/>
  <c r="T43" i="72"/>
  <c r="P43" i="72"/>
  <c r="L43" i="72"/>
  <c r="H43" i="72"/>
  <c r="N43" i="72" s="1"/>
  <c r="D43" i="72"/>
  <c r="B43" i="72"/>
  <c r="Z42" i="72"/>
  <c r="X42" i="72"/>
  <c r="V42" i="72"/>
  <c r="N42" i="72"/>
  <c r="L42" i="72"/>
  <c r="J42" i="72"/>
  <c r="B42" i="72"/>
  <c r="Z41" i="72"/>
  <c r="X41" i="72"/>
  <c r="N41" i="72"/>
  <c r="L41" i="72"/>
  <c r="J41" i="72"/>
  <c r="B41" i="72"/>
  <c r="Z40" i="72"/>
  <c r="X40" i="72"/>
  <c r="N40" i="72"/>
  <c r="L40" i="72"/>
  <c r="B40" i="72"/>
  <c r="Z39" i="72"/>
  <c r="X39" i="72"/>
  <c r="N39" i="72"/>
  <c r="L39" i="72"/>
  <c r="J39" i="72"/>
  <c r="B39" i="72"/>
  <c r="Z38" i="72"/>
  <c r="X38" i="72"/>
  <c r="V38" i="72"/>
  <c r="N38" i="72"/>
  <c r="L38" i="72"/>
  <c r="J38" i="72"/>
  <c r="B38" i="72"/>
  <c r="Z37" i="72"/>
  <c r="X37" i="72"/>
  <c r="N37" i="72"/>
  <c r="L37" i="72"/>
  <c r="J37" i="72"/>
  <c r="B37" i="72"/>
  <c r="Z36" i="72"/>
  <c r="X36" i="72"/>
  <c r="L36" i="72"/>
  <c r="N36" i="72" s="1"/>
  <c r="B36" i="72"/>
  <c r="Z35" i="72"/>
  <c r="X35" i="72"/>
  <c r="N35" i="72"/>
  <c r="L35" i="72"/>
  <c r="J35" i="72"/>
  <c r="B35" i="72"/>
  <c r="Z34" i="72"/>
  <c r="X34" i="72"/>
  <c r="V34" i="72"/>
  <c r="N34" i="72"/>
  <c r="L34" i="72"/>
  <c r="J34" i="72"/>
  <c r="B34" i="72"/>
  <c r="Z33" i="72"/>
  <c r="X33" i="72"/>
  <c r="N33" i="72"/>
  <c r="L33" i="72"/>
  <c r="J33" i="72"/>
  <c r="B33" i="72"/>
  <c r="T32" i="72"/>
  <c r="P32" i="72"/>
  <c r="X32" i="72" s="1"/>
  <c r="Z32" i="72" s="1"/>
  <c r="L32" i="72"/>
  <c r="J32" i="72"/>
  <c r="H32" i="72"/>
  <c r="N32" i="72" s="1"/>
  <c r="D32" i="72"/>
  <c r="B32" i="72"/>
  <c r="X31" i="72"/>
  <c r="Z31" i="72" s="1"/>
  <c r="N31" i="72"/>
  <c r="L31" i="72"/>
  <c r="J31" i="72"/>
  <c r="F31" i="72"/>
  <c r="B31" i="72"/>
  <c r="Z30" i="72"/>
  <c r="X30" i="72"/>
  <c r="N30" i="72"/>
  <c r="L30" i="72"/>
  <c r="J30" i="72"/>
  <c r="B30" i="72"/>
  <c r="X29" i="72"/>
  <c r="Z29" i="72" s="1"/>
  <c r="L29" i="72"/>
  <c r="N29" i="72" s="1"/>
  <c r="B29" i="72"/>
  <c r="Z28" i="72"/>
  <c r="X28" i="72"/>
  <c r="N28" i="72"/>
  <c r="L28" i="72"/>
  <c r="J28" i="72"/>
  <c r="B28" i="72"/>
  <c r="X27" i="72"/>
  <c r="Z27" i="72" s="1"/>
  <c r="N27" i="72"/>
  <c r="L27" i="72"/>
  <c r="J27" i="72"/>
  <c r="B27" i="72"/>
  <c r="Z26" i="72"/>
  <c r="X26" i="72"/>
  <c r="L26" i="72"/>
  <c r="N26" i="72" s="1"/>
  <c r="J26" i="72"/>
  <c r="B26" i="72"/>
  <c r="Z25" i="72"/>
  <c r="X25" i="72"/>
  <c r="L25" i="72"/>
  <c r="N25" i="72" s="1"/>
  <c r="B25" i="72"/>
  <c r="X24" i="72"/>
  <c r="Z24" i="72" s="1"/>
  <c r="N24" i="72"/>
  <c r="L24" i="72"/>
  <c r="J24" i="72"/>
  <c r="B24" i="72"/>
  <c r="X23" i="72"/>
  <c r="Z23" i="72" s="1"/>
  <c r="N23" i="72"/>
  <c r="L23" i="72"/>
  <c r="J23" i="72"/>
  <c r="B23" i="72"/>
  <c r="T22" i="72"/>
  <c r="P22" i="72"/>
  <c r="X22" i="72" s="1"/>
  <c r="Z22" i="72" s="1"/>
  <c r="H22" i="72"/>
  <c r="F22" i="72"/>
  <c r="D22" i="72"/>
  <c r="B22" i="72"/>
  <c r="T21" i="72"/>
  <c r="P21" i="72"/>
  <c r="H21" i="72"/>
  <c r="J21" i="72" s="1"/>
  <c r="D21" i="72"/>
  <c r="L21" i="72" s="1"/>
  <c r="J19" i="72"/>
  <c r="H19" i="72"/>
  <c r="Z17" i="72"/>
  <c r="X17" i="72"/>
  <c r="N17" i="72"/>
  <c r="L17" i="72"/>
  <c r="J17" i="72"/>
  <c r="B17" i="72"/>
  <c r="Z16" i="72"/>
  <c r="X16" i="72"/>
  <c r="N16" i="72"/>
  <c r="L16" i="72"/>
  <c r="J16" i="72"/>
  <c r="B16" i="72"/>
  <c r="T15" i="72"/>
  <c r="P15" i="72"/>
  <c r="X15" i="72" s="1"/>
  <c r="H15" i="72"/>
  <c r="D15" i="72"/>
  <c r="P13" i="72"/>
  <c r="N13" i="72"/>
  <c r="L13" i="72"/>
  <c r="D13" i="72"/>
  <c r="B13" i="72"/>
  <c r="T12" i="72"/>
  <c r="V56" i="72" s="1"/>
  <c r="H12" i="72"/>
  <c r="J61" i="72" s="1"/>
  <c r="D12" i="72"/>
  <c r="F64" i="72" s="1"/>
  <c r="D6" i="72"/>
  <c r="D4" i="72"/>
  <c r="X113" i="70"/>
  <c r="Z113" i="70" s="1"/>
  <c r="N113" i="70"/>
  <c r="L113" i="70"/>
  <c r="Z109" i="70"/>
  <c r="P109" i="70"/>
  <c r="X109" i="70" s="1"/>
  <c r="N109" i="70"/>
  <c r="J109" i="70"/>
  <c r="D109" i="70"/>
  <c r="L109" i="70" s="1"/>
  <c r="B109" i="70"/>
  <c r="P108" i="70"/>
  <c r="X108" i="70" s="1"/>
  <c r="Z108" i="70" s="1"/>
  <c r="N108" i="70"/>
  <c r="D108" i="70"/>
  <c r="L108" i="70" s="1"/>
  <c r="B108" i="70"/>
  <c r="P107" i="70"/>
  <c r="X107" i="70" s="1"/>
  <c r="Z107" i="70" s="1"/>
  <c r="D107" i="70"/>
  <c r="L107" i="70" s="1"/>
  <c r="N107" i="70" s="1"/>
  <c r="B107" i="70"/>
  <c r="T106" i="70"/>
  <c r="P106" i="70"/>
  <c r="X106" i="70" s="1"/>
  <c r="Z106" i="70" s="1"/>
  <c r="H106" i="70"/>
  <c r="D106" i="70"/>
  <c r="L106" i="70" s="1"/>
  <c r="N106" i="70" s="1"/>
  <c r="Z104" i="70"/>
  <c r="X104" i="70"/>
  <c r="N104" i="70"/>
  <c r="L104" i="70"/>
  <c r="B104" i="70"/>
  <c r="X103" i="70"/>
  <c r="V103" i="70"/>
  <c r="T103" i="70"/>
  <c r="Z103" i="70" s="1"/>
  <c r="P103" i="70"/>
  <c r="H103" i="70"/>
  <c r="N103" i="70" s="1"/>
  <c r="D103" i="70"/>
  <c r="L103" i="70" s="1"/>
  <c r="B103" i="70"/>
  <c r="X102" i="70"/>
  <c r="Z102" i="70" s="1"/>
  <c r="L102" i="70"/>
  <c r="N102" i="70" s="1"/>
  <c r="B102" i="70"/>
  <c r="X101" i="70"/>
  <c r="Z101" i="70" s="1"/>
  <c r="N101" i="70"/>
  <c r="L101" i="70"/>
  <c r="B101" i="70"/>
  <c r="X100" i="70"/>
  <c r="T100" i="70"/>
  <c r="Z100" i="70" s="1"/>
  <c r="P100" i="70"/>
  <c r="L100" i="70"/>
  <c r="N100" i="70" s="1"/>
  <c r="J100" i="70"/>
  <c r="H100" i="70"/>
  <c r="D100" i="70"/>
  <c r="B100" i="70"/>
  <c r="X99" i="70"/>
  <c r="Z99" i="70" s="1"/>
  <c r="L99" i="70"/>
  <c r="N99" i="70" s="1"/>
  <c r="J99" i="70"/>
  <c r="B99" i="70"/>
  <c r="X98" i="70"/>
  <c r="Z98" i="70" s="1"/>
  <c r="N98" i="70"/>
  <c r="L98" i="70"/>
  <c r="B98" i="70"/>
  <c r="Z97" i="70"/>
  <c r="X97" i="70"/>
  <c r="N97" i="70"/>
  <c r="L97" i="70"/>
  <c r="B97" i="70"/>
  <c r="V96" i="70"/>
  <c r="T96" i="70"/>
  <c r="P96" i="70"/>
  <c r="X96" i="70" s="1"/>
  <c r="H96" i="70"/>
  <c r="D96" i="70"/>
  <c r="B96" i="70"/>
  <c r="X95" i="70"/>
  <c r="Z95" i="70" s="1"/>
  <c r="V95" i="70"/>
  <c r="N95" i="70"/>
  <c r="L95" i="70"/>
  <c r="B95" i="70"/>
  <c r="T94" i="70"/>
  <c r="P94" i="70"/>
  <c r="X94" i="70" s="1"/>
  <c r="Z94" i="70" s="1"/>
  <c r="H94" i="70"/>
  <c r="D94" i="70"/>
  <c r="L94" i="70" s="1"/>
  <c r="N94" i="70" s="1"/>
  <c r="B94" i="70"/>
  <c r="X93" i="70"/>
  <c r="Z93" i="70" s="1"/>
  <c r="N93" i="70"/>
  <c r="L93" i="70"/>
  <c r="B93" i="70"/>
  <c r="X92" i="70"/>
  <c r="Z92" i="70" s="1"/>
  <c r="N92" i="70"/>
  <c r="L92" i="70"/>
  <c r="J92" i="70"/>
  <c r="B92" i="70"/>
  <c r="T91" i="70"/>
  <c r="P91" i="70"/>
  <c r="X91" i="70" s="1"/>
  <c r="Z91" i="70" s="1"/>
  <c r="H91" i="70"/>
  <c r="D91" i="70"/>
  <c r="B91" i="70"/>
  <c r="X90" i="70"/>
  <c r="Z90" i="70" s="1"/>
  <c r="N90" i="70"/>
  <c r="L90" i="70"/>
  <c r="B90" i="70"/>
  <c r="X89" i="70"/>
  <c r="Z89" i="70" s="1"/>
  <c r="T89" i="70"/>
  <c r="P89" i="70"/>
  <c r="H89" i="70"/>
  <c r="D89" i="70"/>
  <c r="L89" i="70" s="1"/>
  <c r="N89" i="70" s="1"/>
  <c r="B89" i="70"/>
  <c r="Z88" i="70"/>
  <c r="X88" i="70"/>
  <c r="N88" i="70"/>
  <c r="L88" i="70"/>
  <c r="J88" i="70"/>
  <c r="B88" i="70"/>
  <c r="X87" i="70"/>
  <c r="Z87" i="70" s="1"/>
  <c r="V87" i="70"/>
  <c r="N87" i="70"/>
  <c r="L87" i="70"/>
  <c r="J87" i="70"/>
  <c r="B87" i="70"/>
  <c r="T86" i="70"/>
  <c r="P86" i="70"/>
  <c r="X86" i="70" s="1"/>
  <c r="Z86" i="70" s="1"/>
  <c r="H86" i="70"/>
  <c r="D86" i="70"/>
  <c r="L86" i="70" s="1"/>
  <c r="N86" i="70" s="1"/>
  <c r="B86" i="70"/>
  <c r="X85" i="70"/>
  <c r="Z85" i="70" s="1"/>
  <c r="N85" i="70"/>
  <c r="L85" i="70"/>
  <c r="B85" i="70"/>
  <c r="X84" i="70"/>
  <c r="T84" i="70"/>
  <c r="Z84" i="70" s="1"/>
  <c r="P84" i="70"/>
  <c r="L84" i="70"/>
  <c r="N84" i="70" s="1"/>
  <c r="J84" i="70"/>
  <c r="H84" i="70"/>
  <c r="D84" i="70"/>
  <c r="B84" i="70"/>
  <c r="X83" i="70"/>
  <c r="Z83" i="70" s="1"/>
  <c r="L83" i="70"/>
  <c r="N83" i="70" s="1"/>
  <c r="J83" i="70"/>
  <c r="B83" i="70"/>
  <c r="T82" i="70"/>
  <c r="P82" i="70"/>
  <c r="H82" i="70"/>
  <c r="D82" i="70"/>
  <c r="B82" i="70"/>
  <c r="Z81" i="70"/>
  <c r="X81" i="70"/>
  <c r="L81" i="70"/>
  <c r="N81" i="70" s="1"/>
  <c r="B81" i="70"/>
  <c r="Z80" i="70"/>
  <c r="T80" i="70"/>
  <c r="P80" i="70"/>
  <c r="X80" i="70" s="1"/>
  <c r="J80" i="70"/>
  <c r="H80" i="70"/>
  <c r="D80" i="70"/>
  <c r="L80" i="70" s="1"/>
  <c r="N80" i="70" s="1"/>
  <c r="B80" i="70"/>
  <c r="Z79" i="70"/>
  <c r="X79" i="70"/>
  <c r="L79" i="70"/>
  <c r="N79" i="70" s="1"/>
  <c r="B79" i="70"/>
  <c r="Z78" i="70"/>
  <c r="X78" i="70"/>
  <c r="T78" i="70"/>
  <c r="P78" i="70"/>
  <c r="L78" i="70"/>
  <c r="J78" i="70"/>
  <c r="H78" i="70"/>
  <c r="N78" i="70" s="1"/>
  <c r="D78" i="70"/>
  <c r="B78" i="70"/>
  <c r="X77" i="70"/>
  <c r="Z77" i="70" s="1"/>
  <c r="N77" i="70"/>
  <c r="L77" i="70"/>
  <c r="J77" i="70"/>
  <c r="B77" i="70"/>
  <c r="V76" i="70"/>
  <c r="T76" i="70"/>
  <c r="P76" i="70"/>
  <c r="X76" i="70" s="1"/>
  <c r="H76" i="70"/>
  <c r="D76" i="70"/>
  <c r="B76" i="70"/>
  <c r="Z75" i="70"/>
  <c r="X75" i="70"/>
  <c r="N75" i="70"/>
  <c r="L75" i="70"/>
  <c r="J75" i="70"/>
  <c r="B75" i="70"/>
  <c r="Z74" i="70"/>
  <c r="X74" i="70"/>
  <c r="N74" i="70"/>
  <c r="L74" i="70"/>
  <c r="J74" i="70"/>
  <c r="B74" i="70"/>
  <c r="Z73" i="70"/>
  <c r="X73" i="70"/>
  <c r="L73" i="70"/>
  <c r="N73" i="70" s="1"/>
  <c r="B73" i="70"/>
  <c r="Z72" i="70"/>
  <c r="X72" i="70"/>
  <c r="N72" i="70"/>
  <c r="L72" i="70"/>
  <c r="J72" i="70"/>
  <c r="B72" i="70"/>
  <c r="Z71" i="70"/>
  <c r="X71" i="70"/>
  <c r="N71" i="70"/>
  <c r="L71" i="70"/>
  <c r="J71" i="70"/>
  <c r="B71" i="70"/>
  <c r="Z70" i="70"/>
  <c r="X70" i="70"/>
  <c r="L70" i="70"/>
  <c r="N70" i="70" s="1"/>
  <c r="J70" i="70"/>
  <c r="B70" i="70"/>
  <c r="Z69" i="70"/>
  <c r="X69" i="70"/>
  <c r="V69" i="70"/>
  <c r="L69" i="70"/>
  <c r="N69" i="70" s="1"/>
  <c r="B69" i="70"/>
  <c r="Z68" i="70"/>
  <c r="X68" i="70"/>
  <c r="N68" i="70"/>
  <c r="L68" i="70"/>
  <c r="J68" i="70"/>
  <c r="B68" i="70"/>
  <c r="X67" i="70"/>
  <c r="Z67" i="70" s="1"/>
  <c r="V67" i="70"/>
  <c r="N67" i="70"/>
  <c r="L67" i="70"/>
  <c r="J67" i="70"/>
  <c r="B67" i="70"/>
  <c r="Z66" i="70"/>
  <c r="X66" i="70"/>
  <c r="N66" i="70"/>
  <c r="L66" i="70"/>
  <c r="J66" i="70"/>
  <c r="B66" i="70"/>
  <c r="V65" i="70"/>
  <c r="T65" i="70"/>
  <c r="P65" i="70"/>
  <c r="X65" i="70" s="1"/>
  <c r="L65" i="70"/>
  <c r="J65" i="70"/>
  <c r="H65" i="70"/>
  <c r="D65" i="70"/>
  <c r="B65" i="70"/>
  <c r="X64" i="70"/>
  <c r="Z64" i="70" s="1"/>
  <c r="N64" i="70"/>
  <c r="L64" i="70"/>
  <c r="J64" i="70"/>
  <c r="B64" i="70"/>
  <c r="Z63" i="70"/>
  <c r="X63" i="70"/>
  <c r="L63" i="70"/>
  <c r="N63" i="70" s="1"/>
  <c r="B63" i="70"/>
  <c r="X62" i="70"/>
  <c r="Z62" i="70" s="1"/>
  <c r="V62" i="70"/>
  <c r="L62" i="70"/>
  <c r="N62" i="70" s="1"/>
  <c r="B62" i="70"/>
  <c r="Z61" i="70"/>
  <c r="X61" i="70"/>
  <c r="N61" i="70"/>
  <c r="L61" i="70"/>
  <c r="J61" i="70"/>
  <c r="B61" i="70"/>
  <c r="Z60" i="70"/>
  <c r="X60" i="70"/>
  <c r="V60" i="70"/>
  <c r="N60" i="70"/>
  <c r="L60" i="70"/>
  <c r="J60" i="70"/>
  <c r="B60" i="70"/>
  <c r="Z59" i="70"/>
  <c r="X59" i="70"/>
  <c r="V59" i="70"/>
  <c r="L59" i="70"/>
  <c r="N59" i="70" s="1"/>
  <c r="B59" i="70"/>
  <c r="X58" i="70"/>
  <c r="Z58" i="70" s="1"/>
  <c r="V58" i="70"/>
  <c r="L58" i="70"/>
  <c r="N58" i="70" s="1"/>
  <c r="B58" i="70"/>
  <c r="X57" i="70"/>
  <c r="Z57" i="70" s="1"/>
  <c r="L57" i="70"/>
  <c r="N57" i="70" s="1"/>
  <c r="J57" i="70"/>
  <c r="B57" i="70"/>
  <c r="X56" i="70"/>
  <c r="Z56" i="70" s="1"/>
  <c r="V56" i="70"/>
  <c r="N56" i="70"/>
  <c r="L56" i="70"/>
  <c r="J56" i="70"/>
  <c r="B56" i="70"/>
  <c r="Z55" i="70"/>
  <c r="X55" i="70"/>
  <c r="N55" i="70"/>
  <c r="L55" i="70"/>
  <c r="J55" i="70"/>
  <c r="B55" i="70"/>
  <c r="V54" i="70"/>
  <c r="T54" i="70"/>
  <c r="P54" i="70"/>
  <c r="X54" i="70" s="1"/>
  <c r="Z54" i="70" s="1"/>
  <c r="L54" i="70"/>
  <c r="J54" i="70"/>
  <c r="H54" i="70"/>
  <c r="N54" i="70" s="1"/>
  <c r="D54" i="70"/>
  <c r="B54" i="70"/>
  <c r="T53" i="70"/>
  <c r="Z53" i="70" s="1"/>
  <c r="P53" i="70"/>
  <c r="X53" i="70" s="1"/>
  <c r="H53" i="70"/>
  <c r="J53" i="70" s="1"/>
  <c r="D53" i="70"/>
  <c r="L53" i="70" s="1"/>
  <c r="N53" i="70" s="1"/>
  <c r="Z49" i="70"/>
  <c r="X49" i="70"/>
  <c r="N49" i="70"/>
  <c r="L49" i="70"/>
  <c r="J49" i="70"/>
  <c r="B49" i="70"/>
  <c r="Z48" i="70"/>
  <c r="X48" i="70"/>
  <c r="N48" i="70"/>
  <c r="L48" i="70"/>
  <c r="B48" i="70"/>
  <c r="Z47" i="70"/>
  <c r="X47" i="70"/>
  <c r="N47" i="70"/>
  <c r="L47" i="70"/>
  <c r="J47" i="70"/>
  <c r="B47" i="70"/>
  <c r="Z46" i="70"/>
  <c r="X46" i="70"/>
  <c r="N46" i="70"/>
  <c r="L46" i="70"/>
  <c r="J46" i="70"/>
  <c r="B46" i="70"/>
  <c r="Z45" i="70"/>
  <c r="X45" i="70"/>
  <c r="N45" i="70"/>
  <c r="L45" i="70"/>
  <c r="J45" i="70"/>
  <c r="B45" i="70"/>
  <c r="Z44" i="70"/>
  <c r="X44" i="70"/>
  <c r="V44" i="70"/>
  <c r="N44" i="70"/>
  <c r="L44" i="70"/>
  <c r="B44" i="70"/>
  <c r="Z43" i="70"/>
  <c r="X43" i="70"/>
  <c r="N43" i="70"/>
  <c r="L43" i="70"/>
  <c r="J43" i="70"/>
  <c r="B43" i="70"/>
  <c r="Z42" i="70"/>
  <c r="X42" i="70"/>
  <c r="N42" i="70"/>
  <c r="L42" i="70"/>
  <c r="J42" i="70"/>
  <c r="B42" i="70"/>
  <c r="Z41" i="70"/>
  <c r="X41" i="70"/>
  <c r="N41" i="70"/>
  <c r="L41" i="70"/>
  <c r="J41" i="70"/>
  <c r="B41" i="70"/>
  <c r="Z40" i="70"/>
  <c r="X40" i="70"/>
  <c r="N40" i="70"/>
  <c r="L40" i="70"/>
  <c r="B40" i="70"/>
  <c r="Z39" i="70"/>
  <c r="X39" i="70"/>
  <c r="N39" i="70"/>
  <c r="L39" i="70"/>
  <c r="J39" i="70"/>
  <c r="B39" i="70"/>
  <c r="Z38" i="70"/>
  <c r="X38" i="70"/>
  <c r="N38" i="70"/>
  <c r="L38" i="70"/>
  <c r="J38" i="70"/>
  <c r="B38" i="70"/>
  <c r="Z37" i="70"/>
  <c r="X37" i="70"/>
  <c r="N37" i="70"/>
  <c r="L37" i="70"/>
  <c r="J37" i="70"/>
  <c r="B37" i="70"/>
  <c r="Z36" i="70"/>
  <c r="X36" i="70"/>
  <c r="V36" i="70"/>
  <c r="N36" i="70"/>
  <c r="L36" i="70"/>
  <c r="B36" i="70"/>
  <c r="Z35" i="70"/>
  <c r="X35" i="70"/>
  <c r="L35" i="70"/>
  <c r="N35" i="70" s="1"/>
  <c r="J35" i="70"/>
  <c r="B35" i="70"/>
  <c r="T34" i="70"/>
  <c r="P34" i="70"/>
  <c r="J34" i="70"/>
  <c r="H34" i="70"/>
  <c r="H51" i="70" s="1"/>
  <c r="D34" i="70"/>
  <c r="L34" i="70" s="1"/>
  <c r="N34" i="70" s="1"/>
  <c r="Z32" i="70"/>
  <c r="X32" i="70"/>
  <c r="P32" i="70"/>
  <c r="N32" i="70"/>
  <c r="L32" i="70"/>
  <c r="D32" i="70"/>
  <c r="B32" i="70"/>
  <c r="Z31" i="70"/>
  <c r="X31" i="70"/>
  <c r="P31" i="70"/>
  <c r="N31" i="70"/>
  <c r="L31" i="70"/>
  <c r="D31" i="70"/>
  <c r="B31" i="70"/>
  <c r="Z30" i="70"/>
  <c r="P30" i="70"/>
  <c r="X30" i="70" s="1"/>
  <c r="N30" i="70"/>
  <c r="L30" i="70"/>
  <c r="D30" i="70"/>
  <c r="B30" i="70"/>
  <c r="Z29" i="70"/>
  <c r="P29" i="70"/>
  <c r="X29" i="70" s="1"/>
  <c r="N29" i="70"/>
  <c r="L29" i="70"/>
  <c r="D29" i="70"/>
  <c r="B29" i="70"/>
  <c r="Z28" i="70"/>
  <c r="P28" i="70"/>
  <c r="X28" i="70" s="1"/>
  <c r="N28" i="70"/>
  <c r="L28" i="70"/>
  <c r="D28" i="70"/>
  <c r="B28" i="70"/>
  <c r="Z27" i="70"/>
  <c r="P27" i="70"/>
  <c r="X27" i="70" s="1"/>
  <c r="N27" i="70"/>
  <c r="D27" i="70"/>
  <c r="L27" i="70" s="1"/>
  <c r="B27" i="70"/>
  <c r="Z26" i="70"/>
  <c r="P26" i="70"/>
  <c r="X26" i="70" s="1"/>
  <c r="N26" i="70"/>
  <c r="L26" i="70"/>
  <c r="D26" i="70"/>
  <c r="B26" i="70"/>
  <c r="Z25" i="70"/>
  <c r="P25" i="70"/>
  <c r="X25" i="70" s="1"/>
  <c r="N25" i="70"/>
  <c r="D25" i="70"/>
  <c r="L25" i="70" s="1"/>
  <c r="B25" i="70"/>
  <c r="Z24" i="70"/>
  <c r="X24" i="70"/>
  <c r="P24" i="70"/>
  <c r="N24" i="70"/>
  <c r="D24" i="70"/>
  <c r="L24" i="70" s="1"/>
  <c r="B24" i="70"/>
  <c r="Z23" i="70"/>
  <c r="X23" i="70"/>
  <c r="P23" i="70"/>
  <c r="N23" i="70"/>
  <c r="D23" i="70"/>
  <c r="L23" i="70" s="1"/>
  <c r="B23" i="70"/>
  <c r="Z22" i="70"/>
  <c r="X22" i="70"/>
  <c r="P22" i="70"/>
  <c r="N22" i="70"/>
  <c r="D22" i="70"/>
  <c r="L22" i="70" s="1"/>
  <c r="B22" i="70"/>
  <c r="Z21" i="70"/>
  <c r="X21" i="70"/>
  <c r="P21" i="70"/>
  <c r="N21" i="70"/>
  <c r="D21" i="70"/>
  <c r="L21" i="70" s="1"/>
  <c r="B21" i="70"/>
  <c r="Z20" i="70"/>
  <c r="X20" i="70"/>
  <c r="P20" i="70"/>
  <c r="N20" i="70"/>
  <c r="D20" i="70"/>
  <c r="L20" i="70" s="1"/>
  <c r="B20" i="70"/>
  <c r="Z19" i="70"/>
  <c r="P19" i="70"/>
  <c r="X19" i="70" s="1"/>
  <c r="N19" i="70"/>
  <c r="L19" i="70"/>
  <c r="D19" i="70"/>
  <c r="B19" i="70"/>
  <c r="Z18" i="70"/>
  <c r="P18" i="70"/>
  <c r="X18" i="70" s="1"/>
  <c r="N18" i="70"/>
  <c r="L18" i="70"/>
  <c r="D18" i="70"/>
  <c r="B18" i="70"/>
  <c r="Z17" i="70"/>
  <c r="X17" i="70"/>
  <c r="P17" i="70"/>
  <c r="N17" i="70"/>
  <c r="L17" i="70"/>
  <c r="D17" i="70"/>
  <c r="B17" i="70"/>
  <c r="Z16" i="70"/>
  <c r="X16" i="70"/>
  <c r="P16" i="70"/>
  <c r="N16" i="70"/>
  <c r="D16" i="70"/>
  <c r="L16" i="70" s="1"/>
  <c r="B16" i="70"/>
  <c r="Z15" i="70"/>
  <c r="P15" i="70"/>
  <c r="X15" i="70" s="1"/>
  <c r="N15" i="70"/>
  <c r="L15" i="70"/>
  <c r="D15" i="70"/>
  <c r="B15" i="70"/>
  <c r="Z14" i="70"/>
  <c r="P14" i="70"/>
  <c r="X14" i="70" s="1"/>
  <c r="N14" i="70"/>
  <c r="D14" i="70"/>
  <c r="B14" i="70"/>
  <c r="P13" i="70"/>
  <c r="X13" i="70" s="1"/>
  <c r="Z13" i="70" s="1"/>
  <c r="N13" i="70"/>
  <c r="L13" i="70"/>
  <c r="D13" i="70"/>
  <c r="B13" i="70"/>
  <c r="T12" i="70"/>
  <c r="V78" i="70" s="1"/>
  <c r="H12" i="70"/>
  <c r="J113" i="70" s="1"/>
  <c r="D6" i="70"/>
  <c r="D4" i="70"/>
  <c r="Z65" i="69"/>
  <c r="X65" i="69"/>
  <c r="V65" i="69"/>
  <c r="N65" i="69"/>
  <c r="L65" i="69"/>
  <c r="J63" i="69"/>
  <c r="X61" i="69"/>
  <c r="V61" i="69"/>
  <c r="T61" i="69"/>
  <c r="Z61" i="69" s="1"/>
  <c r="P61" i="69"/>
  <c r="N61" i="69"/>
  <c r="H61" i="69"/>
  <c r="D61" i="69"/>
  <c r="L61" i="69" s="1"/>
  <c r="Z59" i="69"/>
  <c r="X59" i="69"/>
  <c r="V59" i="69"/>
  <c r="N59" i="69"/>
  <c r="L59" i="69"/>
  <c r="B59" i="69"/>
  <c r="Z58" i="69"/>
  <c r="T58" i="69"/>
  <c r="P58" i="69"/>
  <c r="X58" i="69" s="1"/>
  <c r="N58" i="69"/>
  <c r="L58" i="69"/>
  <c r="H58" i="69"/>
  <c r="D58" i="69"/>
  <c r="B58" i="69"/>
  <c r="Z57" i="69"/>
  <c r="X57" i="69"/>
  <c r="N57" i="69"/>
  <c r="L57" i="69"/>
  <c r="B57" i="69"/>
  <c r="Z56" i="69"/>
  <c r="X56" i="69"/>
  <c r="N56" i="69"/>
  <c r="L56" i="69"/>
  <c r="J56" i="69"/>
  <c r="B56" i="69"/>
  <c r="Z55" i="69"/>
  <c r="V55" i="69"/>
  <c r="T55" i="69"/>
  <c r="P55" i="69"/>
  <c r="X55" i="69" s="1"/>
  <c r="H55" i="69"/>
  <c r="N55" i="69" s="1"/>
  <c r="D55" i="69"/>
  <c r="L55" i="69" s="1"/>
  <c r="B55" i="69"/>
  <c r="Z54" i="69"/>
  <c r="X54" i="69"/>
  <c r="V54" i="69"/>
  <c r="N54" i="69"/>
  <c r="L54" i="69"/>
  <c r="J54" i="69"/>
  <c r="B54" i="69"/>
  <c r="Z53" i="69"/>
  <c r="X53" i="69"/>
  <c r="V53" i="69"/>
  <c r="N53" i="69"/>
  <c r="L53" i="69"/>
  <c r="B53" i="69"/>
  <c r="T52" i="69"/>
  <c r="Z52" i="69" s="1"/>
  <c r="P52" i="69"/>
  <c r="J52" i="69"/>
  <c r="H52" i="69"/>
  <c r="N52" i="69" s="1"/>
  <c r="D52" i="69"/>
  <c r="B52" i="69"/>
  <c r="Z51" i="69"/>
  <c r="X51" i="69"/>
  <c r="V51" i="69"/>
  <c r="N51" i="69"/>
  <c r="L51" i="69"/>
  <c r="B51" i="69"/>
  <c r="Z50" i="69"/>
  <c r="X50" i="69"/>
  <c r="V50" i="69"/>
  <c r="N50" i="69"/>
  <c r="L50" i="69"/>
  <c r="J50" i="69"/>
  <c r="B50" i="69"/>
  <c r="T49" i="69"/>
  <c r="Z49" i="69" s="1"/>
  <c r="P49" i="69"/>
  <c r="J49" i="69"/>
  <c r="H49" i="69"/>
  <c r="D49" i="69"/>
  <c r="B49" i="69"/>
  <c r="Z48" i="69"/>
  <c r="X48" i="69"/>
  <c r="N48" i="69"/>
  <c r="L48" i="69"/>
  <c r="B48" i="69"/>
  <c r="Z47" i="69"/>
  <c r="T47" i="69"/>
  <c r="P47" i="69"/>
  <c r="H47" i="69"/>
  <c r="N47" i="69" s="1"/>
  <c r="D47" i="69"/>
  <c r="L47" i="69" s="1"/>
  <c r="B47" i="69"/>
  <c r="Z46" i="69"/>
  <c r="X46" i="69"/>
  <c r="V46" i="69"/>
  <c r="N46" i="69"/>
  <c r="L46" i="69"/>
  <c r="B46" i="69"/>
  <c r="Z45" i="69"/>
  <c r="V45" i="69"/>
  <c r="T45" i="69"/>
  <c r="P45" i="69"/>
  <c r="X45" i="69" s="1"/>
  <c r="N45" i="69"/>
  <c r="J45" i="69"/>
  <c r="H45" i="69"/>
  <c r="L45" i="69" s="1"/>
  <c r="D45" i="69"/>
  <c r="B45" i="69"/>
  <c r="Z44" i="69"/>
  <c r="X44" i="69"/>
  <c r="N44" i="69"/>
  <c r="L44" i="69"/>
  <c r="J44" i="69"/>
  <c r="B44" i="69"/>
  <c r="X43" i="69"/>
  <c r="V43" i="69"/>
  <c r="T43" i="69"/>
  <c r="Z43" i="69" s="1"/>
  <c r="P43" i="69"/>
  <c r="N43" i="69"/>
  <c r="H43" i="69"/>
  <c r="D43" i="69"/>
  <c r="L43" i="69" s="1"/>
  <c r="B43" i="69"/>
  <c r="Z42" i="69"/>
  <c r="X42" i="69"/>
  <c r="N42" i="69"/>
  <c r="L42" i="69"/>
  <c r="J42" i="69"/>
  <c r="B42" i="69"/>
  <c r="Z41" i="69"/>
  <c r="X41" i="69"/>
  <c r="T41" i="69"/>
  <c r="P41" i="69"/>
  <c r="H41" i="69"/>
  <c r="N41" i="69" s="1"/>
  <c r="D41" i="69"/>
  <c r="L41" i="69" s="1"/>
  <c r="B41" i="69"/>
  <c r="Z40" i="69"/>
  <c r="X40" i="69"/>
  <c r="V40" i="69"/>
  <c r="N40" i="69"/>
  <c r="L40" i="69"/>
  <c r="B40" i="69"/>
  <c r="Z39" i="69"/>
  <c r="X39" i="69"/>
  <c r="V39" i="69"/>
  <c r="N39" i="69"/>
  <c r="L39" i="69"/>
  <c r="J39" i="69"/>
  <c r="B39" i="69"/>
  <c r="Z38" i="69"/>
  <c r="X38" i="69"/>
  <c r="N38" i="69"/>
  <c r="L38" i="69"/>
  <c r="B38" i="69"/>
  <c r="Z37" i="69"/>
  <c r="X37" i="69"/>
  <c r="N37" i="69"/>
  <c r="L37" i="69"/>
  <c r="B37" i="69"/>
  <c r="Z36" i="69"/>
  <c r="X36" i="69"/>
  <c r="N36" i="69"/>
  <c r="L36" i="69"/>
  <c r="B36" i="69"/>
  <c r="Z35" i="69"/>
  <c r="X35" i="69"/>
  <c r="N35" i="69"/>
  <c r="L35" i="69"/>
  <c r="B35" i="69"/>
  <c r="Z34" i="69"/>
  <c r="X34" i="69"/>
  <c r="V34" i="69"/>
  <c r="N34" i="69"/>
  <c r="L34" i="69"/>
  <c r="B34" i="69"/>
  <c r="Z33" i="69"/>
  <c r="X33" i="69"/>
  <c r="N33" i="69"/>
  <c r="L33" i="69"/>
  <c r="B33" i="69"/>
  <c r="Z32" i="69"/>
  <c r="X32" i="69"/>
  <c r="N32" i="69"/>
  <c r="L32" i="69"/>
  <c r="B32" i="69"/>
  <c r="Z31" i="69"/>
  <c r="X31" i="69"/>
  <c r="V31" i="69"/>
  <c r="N31" i="69"/>
  <c r="L31" i="69"/>
  <c r="J31" i="69"/>
  <c r="B31" i="69"/>
  <c r="T30" i="69"/>
  <c r="Z30" i="69" s="1"/>
  <c r="P30" i="69"/>
  <c r="N30" i="69"/>
  <c r="J30" i="69"/>
  <c r="H30" i="69"/>
  <c r="D30" i="69"/>
  <c r="L30" i="69" s="1"/>
  <c r="B30" i="69"/>
  <c r="Z29" i="69"/>
  <c r="X29" i="69"/>
  <c r="N29" i="69"/>
  <c r="L29" i="69"/>
  <c r="B29" i="69"/>
  <c r="Z28" i="69"/>
  <c r="X28" i="69"/>
  <c r="N28" i="69"/>
  <c r="L28" i="69"/>
  <c r="B28" i="69"/>
  <c r="Z27" i="69"/>
  <c r="X27" i="69"/>
  <c r="V27" i="69"/>
  <c r="N27" i="69"/>
  <c r="L27" i="69"/>
  <c r="J27" i="69"/>
  <c r="B27" i="69"/>
  <c r="Z26" i="69"/>
  <c r="X26" i="69"/>
  <c r="V26" i="69"/>
  <c r="N26" i="69"/>
  <c r="L26" i="69"/>
  <c r="J26" i="69"/>
  <c r="B26" i="69"/>
  <c r="Z25" i="69"/>
  <c r="X25" i="69"/>
  <c r="V25" i="69"/>
  <c r="N25" i="69"/>
  <c r="L25" i="69"/>
  <c r="B25" i="69"/>
  <c r="Z24" i="69"/>
  <c r="X24" i="69"/>
  <c r="N24" i="69"/>
  <c r="L24" i="69"/>
  <c r="J24" i="69"/>
  <c r="B24" i="69"/>
  <c r="Z23" i="69"/>
  <c r="X23" i="69"/>
  <c r="V23" i="69"/>
  <c r="N23" i="69"/>
  <c r="L23" i="69"/>
  <c r="J23" i="69"/>
  <c r="B23" i="69"/>
  <c r="Z22" i="69"/>
  <c r="X22" i="69"/>
  <c r="V22" i="69"/>
  <c r="N22" i="69"/>
  <c r="L22" i="69"/>
  <c r="J22" i="69"/>
  <c r="B22" i="69"/>
  <c r="Z21" i="69"/>
  <c r="X21" i="69"/>
  <c r="T21" i="69"/>
  <c r="P21" i="69"/>
  <c r="H21" i="69"/>
  <c r="D21" i="69"/>
  <c r="B21" i="69"/>
  <c r="T20" i="69"/>
  <c r="Z20" i="69" s="1"/>
  <c r="P20" i="69"/>
  <c r="X20" i="69" s="1"/>
  <c r="J20" i="69"/>
  <c r="H20" i="69"/>
  <c r="N20" i="69" s="1"/>
  <c r="D20" i="69"/>
  <c r="L20" i="69" s="1"/>
  <c r="H18" i="69"/>
  <c r="N18" i="69" s="1"/>
  <c r="Z16" i="69"/>
  <c r="X16" i="69"/>
  <c r="V16" i="69"/>
  <c r="N16" i="69"/>
  <c r="L16" i="69"/>
  <c r="J16" i="69"/>
  <c r="B16" i="69"/>
  <c r="T15" i="69"/>
  <c r="P15" i="69"/>
  <c r="N15" i="69"/>
  <c r="H15" i="69"/>
  <c r="D15" i="69"/>
  <c r="L15" i="69" s="1"/>
  <c r="P13" i="69"/>
  <c r="N13" i="69"/>
  <c r="D13" i="69"/>
  <c r="L13" i="69" s="1"/>
  <c r="B13" i="69"/>
  <c r="T12" i="69"/>
  <c r="V36" i="69" s="1"/>
  <c r="N12" i="69"/>
  <c r="H12" i="69"/>
  <c r="D12" i="69"/>
  <c r="D6" i="69"/>
  <c r="D4" i="69"/>
  <c r="X94" i="68"/>
  <c r="Z94" i="68" s="1"/>
  <c r="L94" i="68"/>
  <c r="N94" i="68" s="1"/>
  <c r="X90" i="68"/>
  <c r="V90" i="68"/>
  <c r="T90" i="68"/>
  <c r="Z90" i="68" s="1"/>
  <c r="P90" i="68"/>
  <c r="H90" i="68"/>
  <c r="N90" i="68" s="1"/>
  <c r="D90" i="68"/>
  <c r="X88" i="68"/>
  <c r="Z88" i="68" s="1"/>
  <c r="V88" i="68"/>
  <c r="N88" i="68"/>
  <c r="L88" i="68"/>
  <c r="B88" i="68"/>
  <c r="T87" i="68"/>
  <c r="P87" i="68"/>
  <c r="X87" i="68" s="1"/>
  <c r="Z87" i="68" s="1"/>
  <c r="N87" i="68"/>
  <c r="L87" i="68"/>
  <c r="J87" i="68"/>
  <c r="H87" i="68"/>
  <c r="D87" i="68"/>
  <c r="B87" i="68"/>
  <c r="Z86" i="68"/>
  <c r="X86" i="68"/>
  <c r="N86" i="68"/>
  <c r="L86" i="68"/>
  <c r="B86" i="68"/>
  <c r="X85" i="68"/>
  <c r="Z85" i="68" s="1"/>
  <c r="V85" i="68"/>
  <c r="L85" i="68"/>
  <c r="N85" i="68" s="1"/>
  <c r="B85" i="68"/>
  <c r="X84" i="68"/>
  <c r="Z84" i="68" s="1"/>
  <c r="T84" i="68"/>
  <c r="P84" i="68"/>
  <c r="H84" i="68"/>
  <c r="D84" i="68"/>
  <c r="B84" i="68"/>
  <c r="Z83" i="68"/>
  <c r="X83" i="68"/>
  <c r="N83" i="68"/>
  <c r="L83" i="68"/>
  <c r="B83" i="68"/>
  <c r="Z82" i="68"/>
  <c r="X82" i="68"/>
  <c r="V82" i="68"/>
  <c r="L82" i="68"/>
  <c r="N82" i="68" s="1"/>
  <c r="B82" i="68"/>
  <c r="Z81" i="68"/>
  <c r="X81" i="68"/>
  <c r="V81" i="68"/>
  <c r="N81" i="68"/>
  <c r="L81" i="68"/>
  <c r="B81" i="68"/>
  <c r="X80" i="68"/>
  <c r="Z80" i="68" s="1"/>
  <c r="V80" i="68"/>
  <c r="L80" i="68"/>
  <c r="N80" i="68" s="1"/>
  <c r="B80" i="68"/>
  <c r="Z79" i="68"/>
  <c r="T79" i="68"/>
  <c r="P79" i="68"/>
  <c r="X79" i="68" s="1"/>
  <c r="J79" i="68"/>
  <c r="H79" i="68"/>
  <c r="D79" i="68"/>
  <c r="L79" i="68" s="1"/>
  <c r="B79" i="68"/>
  <c r="X78" i="68"/>
  <c r="Z78" i="68" s="1"/>
  <c r="N78" i="68"/>
  <c r="L78" i="68"/>
  <c r="B78" i="68"/>
  <c r="Z77" i="68"/>
  <c r="X77" i="68"/>
  <c r="V77" i="68"/>
  <c r="N77" i="68"/>
  <c r="L77" i="68"/>
  <c r="B77" i="68"/>
  <c r="X76" i="68"/>
  <c r="V76" i="68"/>
  <c r="T76" i="68"/>
  <c r="P76" i="68"/>
  <c r="H76" i="68"/>
  <c r="D76" i="68"/>
  <c r="B76" i="68"/>
  <c r="Z75" i="68"/>
  <c r="X75" i="68"/>
  <c r="N75" i="68"/>
  <c r="L75" i="68"/>
  <c r="B75" i="68"/>
  <c r="Z74" i="68"/>
  <c r="X74" i="68"/>
  <c r="N74" i="68"/>
  <c r="L74" i="68"/>
  <c r="B74" i="68"/>
  <c r="T73" i="68"/>
  <c r="P73" i="68"/>
  <c r="N73" i="68"/>
  <c r="L73" i="68"/>
  <c r="H73" i="68"/>
  <c r="D73" i="68"/>
  <c r="B73" i="68"/>
  <c r="X72" i="68"/>
  <c r="Z72" i="68" s="1"/>
  <c r="V72" i="68"/>
  <c r="N72" i="68"/>
  <c r="L72" i="68"/>
  <c r="J72" i="68"/>
  <c r="B72" i="68"/>
  <c r="Z71" i="68"/>
  <c r="T71" i="68"/>
  <c r="P71" i="68"/>
  <c r="X71" i="68" s="1"/>
  <c r="J71" i="68"/>
  <c r="H71" i="68"/>
  <c r="N71" i="68" s="1"/>
  <c r="D71" i="68"/>
  <c r="L71" i="68" s="1"/>
  <c r="B71" i="68"/>
  <c r="X70" i="68"/>
  <c r="Z70" i="68" s="1"/>
  <c r="N70" i="68"/>
  <c r="L70" i="68"/>
  <c r="B70" i="68"/>
  <c r="X69" i="68"/>
  <c r="Z69" i="68" s="1"/>
  <c r="V69" i="68"/>
  <c r="T69" i="68"/>
  <c r="P69" i="68"/>
  <c r="N69" i="68"/>
  <c r="H69" i="68"/>
  <c r="D69" i="68"/>
  <c r="L69" i="68" s="1"/>
  <c r="B69" i="68"/>
  <c r="X68" i="68"/>
  <c r="Z68" i="68" s="1"/>
  <c r="L68" i="68"/>
  <c r="N68" i="68" s="1"/>
  <c r="B68" i="68"/>
  <c r="Z67" i="68"/>
  <c r="X67" i="68"/>
  <c r="T67" i="68"/>
  <c r="V67" i="68" s="1"/>
  <c r="P67" i="68"/>
  <c r="H67" i="68"/>
  <c r="D67" i="68"/>
  <c r="B67" i="68"/>
  <c r="Z66" i="68"/>
  <c r="X66" i="68"/>
  <c r="V66" i="68"/>
  <c r="N66" i="68"/>
  <c r="L66" i="68"/>
  <c r="B66" i="68"/>
  <c r="X65" i="68"/>
  <c r="Z65" i="68" s="1"/>
  <c r="V65" i="68"/>
  <c r="L65" i="68"/>
  <c r="N65" i="68" s="1"/>
  <c r="B65" i="68"/>
  <c r="V64" i="68"/>
  <c r="T64" i="68"/>
  <c r="P64" i="68"/>
  <c r="X64" i="68" s="1"/>
  <c r="Z64" i="68" s="1"/>
  <c r="N64" i="68"/>
  <c r="H64" i="68"/>
  <c r="L64" i="68" s="1"/>
  <c r="D64" i="68"/>
  <c r="B64" i="68"/>
  <c r="X63" i="68"/>
  <c r="Z63" i="68" s="1"/>
  <c r="L63" i="68"/>
  <c r="N63" i="68" s="1"/>
  <c r="B63" i="68"/>
  <c r="T62" i="68"/>
  <c r="P62" i="68"/>
  <c r="L62" i="68"/>
  <c r="H62" i="68"/>
  <c r="N62" i="68" s="1"/>
  <c r="D62" i="68"/>
  <c r="B62" i="68"/>
  <c r="Z61" i="68"/>
  <c r="X61" i="68"/>
  <c r="V61" i="68"/>
  <c r="N61" i="68"/>
  <c r="L61" i="68"/>
  <c r="B61" i="68"/>
  <c r="Z60" i="68"/>
  <c r="X60" i="68"/>
  <c r="T60" i="68"/>
  <c r="P60" i="68"/>
  <c r="H60" i="68"/>
  <c r="N60" i="68" s="1"/>
  <c r="D60" i="68"/>
  <c r="B60" i="68"/>
  <c r="Z59" i="68"/>
  <c r="X59" i="68"/>
  <c r="L59" i="68"/>
  <c r="N59" i="68" s="1"/>
  <c r="B59" i="68"/>
  <c r="T58" i="68"/>
  <c r="P58" i="68"/>
  <c r="H58" i="68"/>
  <c r="D58" i="68"/>
  <c r="L58" i="68" s="1"/>
  <c r="N58" i="68" s="1"/>
  <c r="B58" i="68"/>
  <c r="Z57" i="68"/>
  <c r="X57" i="68"/>
  <c r="V57" i="68"/>
  <c r="N57" i="68"/>
  <c r="L57" i="68"/>
  <c r="B57" i="68"/>
  <c r="Z56" i="68"/>
  <c r="X56" i="68"/>
  <c r="V56" i="68"/>
  <c r="N56" i="68"/>
  <c r="L56" i="68"/>
  <c r="B56" i="68"/>
  <c r="X55" i="68"/>
  <c r="Z55" i="68" s="1"/>
  <c r="N55" i="68"/>
  <c r="L55" i="68"/>
  <c r="B55" i="68"/>
  <c r="Z54" i="68"/>
  <c r="X54" i="68"/>
  <c r="V54" i="68"/>
  <c r="N54" i="68"/>
  <c r="L54" i="68"/>
  <c r="B54" i="68"/>
  <c r="Z53" i="68"/>
  <c r="X53" i="68"/>
  <c r="V53" i="68"/>
  <c r="N53" i="68"/>
  <c r="L53" i="68"/>
  <c r="B53" i="68"/>
  <c r="Z52" i="68"/>
  <c r="X52" i="68"/>
  <c r="V52" i="68"/>
  <c r="N52" i="68"/>
  <c r="L52" i="68"/>
  <c r="B52" i="68"/>
  <c r="X51" i="68"/>
  <c r="Z51" i="68" s="1"/>
  <c r="L51" i="68"/>
  <c r="N51" i="68" s="1"/>
  <c r="B51" i="68"/>
  <c r="Z50" i="68"/>
  <c r="X50" i="68"/>
  <c r="V50" i="68"/>
  <c r="N50" i="68"/>
  <c r="L50" i="68"/>
  <c r="B50" i="68"/>
  <c r="Z49" i="68"/>
  <c r="X49" i="68"/>
  <c r="V49" i="68"/>
  <c r="N49" i="68"/>
  <c r="L49" i="68"/>
  <c r="B49" i="68"/>
  <c r="X48" i="68"/>
  <c r="Z48" i="68" s="1"/>
  <c r="V48" i="68"/>
  <c r="L48" i="68"/>
  <c r="N48" i="68" s="1"/>
  <c r="B48" i="68"/>
  <c r="T47" i="68"/>
  <c r="P47" i="68"/>
  <c r="X47" i="68" s="1"/>
  <c r="Z47" i="68" s="1"/>
  <c r="L47" i="68"/>
  <c r="N47" i="68" s="1"/>
  <c r="J47" i="68"/>
  <c r="H47" i="68"/>
  <c r="D47" i="68"/>
  <c r="B47" i="68"/>
  <c r="Z46" i="68"/>
  <c r="X46" i="68"/>
  <c r="N46" i="68"/>
  <c r="L46" i="68"/>
  <c r="B46" i="68"/>
  <c r="X45" i="68"/>
  <c r="Z45" i="68" s="1"/>
  <c r="V45" i="68"/>
  <c r="L45" i="68"/>
  <c r="N45" i="68" s="1"/>
  <c r="B45" i="68"/>
  <c r="Z44" i="68"/>
  <c r="X44" i="68"/>
  <c r="N44" i="68"/>
  <c r="L44" i="68"/>
  <c r="B44" i="68"/>
  <c r="Z43" i="68"/>
  <c r="X43" i="68"/>
  <c r="V43" i="68"/>
  <c r="N43" i="68"/>
  <c r="L43" i="68"/>
  <c r="B43" i="68"/>
  <c r="Z42" i="68"/>
  <c r="X42" i="68"/>
  <c r="N42" i="68"/>
  <c r="L42" i="68"/>
  <c r="B42" i="68"/>
  <c r="X41" i="68"/>
  <c r="Z41" i="68" s="1"/>
  <c r="V41" i="68"/>
  <c r="L41" i="68"/>
  <c r="N41" i="68" s="1"/>
  <c r="B41" i="68"/>
  <c r="X40" i="68"/>
  <c r="Z40" i="68" s="1"/>
  <c r="L40" i="68"/>
  <c r="N40" i="68" s="1"/>
  <c r="B40" i="68"/>
  <c r="X39" i="68"/>
  <c r="Z39" i="68" s="1"/>
  <c r="V39" i="68"/>
  <c r="N39" i="68"/>
  <c r="L39" i="68"/>
  <c r="B39" i="68"/>
  <c r="T38" i="68"/>
  <c r="P38" i="68"/>
  <c r="X38" i="68" s="1"/>
  <c r="L38" i="68"/>
  <c r="N38" i="68" s="1"/>
  <c r="H38" i="68"/>
  <c r="D38" i="68"/>
  <c r="B38" i="68"/>
  <c r="T37" i="68"/>
  <c r="P37" i="68"/>
  <c r="N37" i="68"/>
  <c r="H37" i="68"/>
  <c r="D37" i="68"/>
  <c r="L37" i="68" s="1"/>
  <c r="Z33" i="68"/>
  <c r="X33" i="68"/>
  <c r="V33" i="68"/>
  <c r="N33" i="68"/>
  <c r="L33" i="68"/>
  <c r="J33" i="68"/>
  <c r="B33" i="68"/>
  <c r="Z32" i="68"/>
  <c r="X32" i="68"/>
  <c r="V32" i="68"/>
  <c r="N32" i="68"/>
  <c r="L32" i="68"/>
  <c r="B32" i="68"/>
  <c r="Z31" i="68"/>
  <c r="X31" i="68"/>
  <c r="N31" i="68"/>
  <c r="L31" i="68"/>
  <c r="B31" i="68"/>
  <c r="Z30" i="68"/>
  <c r="X30" i="68"/>
  <c r="V30" i="68"/>
  <c r="N30" i="68"/>
  <c r="L30" i="68"/>
  <c r="B30" i="68"/>
  <c r="Z29" i="68"/>
  <c r="X29" i="68"/>
  <c r="V29" i="68"/>
  <c r="N29" i="68"/>
  <c r="L29" i="68"/>
  <c r="J29" i="68"/>
  <c r="B29" i="68"/>
  <c r="Z28" i="68"/>
  <c r="X28" i="68"/>
  <c r="V28" i="68"/>
  <c r="N28" i="68"/>
  <c r="L28" i="68"/>
  <c r="B28" i="68"/>
  <c r="Z27" i="68"/>
  <c r="X27" i="68"/>
  <c r="N27" i="68"/>
  <c r="L27" i="68"/>
  <c r="B27" i="68"/>
  <c r="Z26" i="68"/>
  <c r="X26" i="68"/>
  <c r="V26" i="68"/>
  <c r="L26" i="68"/>
  <c r="N26" i="68" s="1"/>
  <c r="B26" i="68"/>
  <c r="T25" i="68"/>
  <c r="T35" i="68" s="1"/>
  <c r="P25" i="68"/>
  <c r="H25" i="68"/>
  <c r="D25" i="68"/>
  <c r="L25" i="68" s="1"/>
  <c r="N25" i="68" s="1"/>
  <c r="Z23" i="68"/>
  <c r="P23" i="68"/>
  <c r="X23" i="68" s="1"/>
  <c r="N23" i="68"/>
  <c r="D23" i="68"/>
  <c r="L23" i="68" s="1"/>
  <c r="B23" i="68"/>
  <c r="Z22" i="68"/>
  <c r="P22" i="68"/>
  <c r="X22" i="68" s="1"/>
  <c r="N22" i="68"/>
  <c r="L22" i="68"/>
  <c r="D22" i="68"/>
  <c r="B22" i="68"/>
  <c r="Z21" i="68"/>
  <c r="X21" i="68"/>
  <c r="P21" i="68"/>
  <c r="N21" i="68"/>
  <c r="L21" i="68"/>
  <c r="D21" i="68"/>
  <c r="B21" i="68"/>
  <c r="P20" i="68"/>
  <c r="X20" i="68" s="1"/>
  <c r="Z20" i="68" s="1"/>
  <c r="D20" i="68"/>
  <c r="L20" i="68" s="1"/>
  <c r="N20" i="68" s="1"/>
  <c r="B20" i="68"/>
  <c r="Z19" i="68"/>
  <c r="P19" i="68"/>
  <c r="X19" i="68" s="1"/>
  <c r="N19" i="68"/>
  <c r="D19" i="68"/>
  <c r="L19" i="68" s="1"/>
  <c r="B19" i="68"/>
  <c r="Z18" i="68"/>
  <c r="P18" i="68"/>
  <c r="X18" i="68" s="1"/>
  <c r="N18" i="68"/>
  <c r="L18" i="68"/>
  <c r="D18" i="68"/>
  <c r="B18" i="68"/>
  <c r="Z17" i="68"/>
  <c r="P17" i="68"/>
  <c r="X17" i="68" s="1"/>
  <c r="N17" i="68"/>
  <c r="D17" i="68"/>
  <c r="L17" i="68" s="1"/>
  <c r="B17" i="68"/>
  <c r="Z16" i="68"/>
  <c r="P16" i="68"/>
  <c r="X16" i="68" s="1"/>
  <c r="N16" i="68"/>
  <c r="D16" i="68"/>
  <c r="L16" i="68" s="1"/>
  <c r="B16" i="68"/>
  <c r="Z15" i="68"/>
  <c r="P15" i="68"/>
  <c r="X15" i="68" s="1"/>
  <c r="N15" i="68"/>
  <c r="D15" i="68"/>
  <c r="L15" i="68" s="1"/>
  <c r="B15" i="68"/>
  <c r="Z14" i="68"/>
  <c r="P14" i="68"/>
  <c r="X14" i="68" s="1"/>
  <c r="N14" i="68"/>
  <c r="D14" i="68"/>
  <c r="L14" i="68" s="1"/>
  <c r="B14" i="68"/>
  <c r="Z13" i="68"/>
  <c r="X13" i="68"/>
  <c r="P13" i="68"/>
  <c r="N13" i="68"/>
  <c r="D13" i="68"/>
  <c r="B13" i="68"/>
  <c r="T12" i="68"/>
  <c r="V75" i="68" s="1"/>
  <c r="H12" i="68"/>
  <c r="J81" i="68" s="1"/>
  <c r="D6" i="68"/>
  <c r="D4" i="68"/>
  <c r="R103" i="63"/>
  <c r="Z101" i="63"/>
  <c r="X101" i="63"/>
  <c r="N101" i="63"/>
  <c r="L101" i="63"/>
  <c r="R99" i="63"/>
  <c r="P97" i="63"/>
  <c r="X97" i="63" s="1"/>
  <c r="Z97" i="63" s="1"/>
  <c r="D97" i="63"/>
  <c r="L97" i="63" s="1"/>
  <c r="N97" i="63" s="1"/>
  <c r="B97" i="63"/>
  <c r="P96" i="63"/>
  <c r="P95" i="63" s="1"/>
  <c r="X95" i="63" s="1"/>
  <c r="Z95" i="63" s="1"/>
  <c r="N96" i="63"/>
  <c r="L96" i="63"/>
  <c r="D96" i="63"/>
  <c r="B96" i="63"/>
  <c r="T95" i="63"/>
  <c r="L95" i="63"/>
  <c r="N95" i="63" s="1"/>
  <c r="H95" i="63"/>
  <c r="D95" i="63"/>
  <c r="X93" i="63"/>
  <c r="Z93" i="63" s="1"/>
  <c r="L93" i="63"/>
  <c r="N93" i="63" s="1"/>
  <c r="B93" i="63"/>
  <c r="T92" i="63"/>
  <c r="P92" i="63"/>
  <c r="X92" i="63" s="1"/>
  <c r="H92" i="63"/>
  <c r="D92" i="63"/>
  <c r="L92" i="63" s="1"/>
  <c r="B92" i="63"/>
  <c r="Z91" i="63"/>
  <c r="X91" i="63"/>
  <c r="N91" i="63"/>
  <c r="L91" i="63"/>
  <c r="B91" i="63"/>
  <c r="Z90" i="63"/>
  <c r="X90" i="63"/>
  <c r="N90" i="63"/>
  <c r="L90" i="63"/>
  <c r="B90" i="63"/>
  <c r="X89" i="63"/>
  <c r="V89" i="63"/>
  <c r="T89" i="63"/>
  <c r="Z89" i="63" s="1"/>
  <c r="P89" i="63"/>
  <c r="N89" i="63"/>
  <c r="L89" i="63"/>
  <c r="H89" i="63"/>
  <c r="F89" i="63"/>
  <c r="D89" i="63"/>
  <c r="B89" i="63"/>
  <c r="Z88" i="63"/>
  <c r="X88" i="63"/>
  <c r="L88" i="63"/>
  <c r="N88" i="63" s="1"/>
  <c r="B88" i="63"/>
  <c r="T87" i="63"/>
  <c r="P87" i="63"/>
  <c r="X87" i="63" s="1"/>
  <c r="Z87" i="63" s="1"/>
  <c r="H87" i="63"/>
  <c r="D87" i="63"/>
  <c r="L87" i="63" s="1"/>
  <c r="B87" i="63"/>
  <c r="X86" i="63"/>
  <c r="Z86" i="63" s="1"/>
  <c r="V86" i="63"/>
  <c r="N86" i="63"/>
  <c r="L86" i="63"/>
  <c r="B86" i="63"/>
  <c r="X85" i="63"/>
  <c r="Z85" i="63" s="1"/>
  <c r="T85" i="63"/>
  <c r="P85" i="63"/>
  <c r="H85" i="63"/>
  <c r="D85" i="63"/>
  <c r="L85" i="63" s="1"/>
  <c r="N85" i="63" s="1"/>
  <c r="B85" i="63"/>
  <c r="Z84" i="63"/>
  <c r="X84" i="63"/>
  <c r="N84" i="63"/>
  <c r="L84" i="63"/>
  <c r="B84" i="63"/>
  <c r="Z83" i="63"/>
  <c r="X83" i="63"/>
  <c r="R83" i="63"/>
  <c r="N83" i="63"/>
  <c r="L83" i="63"/>
  <c r="F83" i="63"/>
  <c r="B83" i="63"/>
  <c r="Z82" i="63"/>
  <c r="X82" i="63"/>
  <c r="N82" i="63"/>
  <c r="L82" i="63"/>
  <c r="B82" i="63"/>
  <c r="Z81" i="63"/>
  <c r="X81" i="63"/>
  <c r="V81" i="63"/>
  <c r="N81" i="63"/>
  <c r="L81" i="63"/>
  <c r="B81" i="63"/>
  <c r="Z80" i="63"/>
  <c r="X80" i="63"/>
  <c r="N80" i="63"/>
  <c r="L80" i="63"/>
  <c r="B80" i="63"/>
  <c r="Z79" i="63"/>
  <c r="X79" i="63"/>
  <c r="N79" i="63"/>
  <c r="L79" i="63"/>
  <c r="B79" i="63"/>
  <c r="Z78" i="63"/>
  <c r="X78" i="63"/>
  <c r="N78" i="63"/>
  <c r="L78" i="63"/>
  <c r="B78" i="63"/>
  <c r="T77" i="63"/>
  <c r="P77" i="63"/>
  <c r="L77" i="63"/>
  <c r="N77" i="63" s="1"/>
  <c r="H77" i="63"/>
  <c r="F77" i="63"/>
  <c r="D77" i="63"/>
  <c r="B77" i="63"/>
  <c r="X76" i="63"/>
  <c r="Z76" i="63" s="1"/>
  <c r="L76" i="63"/>
  <c r="N76" i="63" s="1"/>
  <c r="B76" i="63"/>
  <c r="T75" i="63"/>
  <c r="P75" i="63"/>
  <c r="H75" i="63"/>
  <c r="D75" i="63"/>
  <c r="B75" i="63"/>
  <c r="Z74" i="63"/>
  <c r="X74" i="63"/>
  <c r="V74" i="63"/>
  <c r="N74" i="63"/>
  <c r="L74" i="63"/>
  <c r="B74" i="63"/>
  <c r="Z73" i="63"/>
  <c r="X73" i="63"/>
  <c r="N73" i="63"/>
  <c r="L73" i="63"/>
  <c r="F73" i="63"/>
  <c r="B73" i="63"/>
  <c r="X72" i="63"/>
  <c r="Z72" i="63" s="1"/>
  <c r="V72" i="63"/>
  <c r="L72" i="63"/>
  <c r="N72" i="63" s="1"/>
  <c r="B72" i="63"/>
  <c r="T71" i="63"/>
  <c r="P71" i="63"/>
  <c r="X71" i="63" s="1"/>
  <c r="Z71" i="63" s="1"/>
  <c r="H71" i="63"/>
  <c r="D71" i="63"/>
  <c r="L71" i="63" s="1"/>
  <c r="N71" i="63" s="1"/>
  <c r="B71" i="63"/>
  <c r="Z70" i="63"/>
  <c r="X70" i="63"/>
  <c r="N70" i="63"/>
  <c r="L70" i="63"/>
  <c r="B70" i="63"/>
  <c r="X69" i="63"/>
  <c r="Z69" i="63" s="1"/>
  <c r="R69" i="63"/>
  <c r="L69" i="63"/>
  <c r="N69" i="63" s="1"/>
  <c r="F69" i="63"/>
  <c r="B69" i="63"/>
  <c r="Z68" i="63"/>
  <c r="X68" i="63"/>
  <c r="N68" i="63"/>
  <c r="L68" i="63"/>
  <c r="B68" i="63"/>
  <c r="X67" i="63"/>
  <c r="Z67" i="63" s="1"/>
  <c r="N67" i="63"/>
  <c r="L67" i="63"/>
  <c r="B67" i="63"/>
  <c r="Z66" i="63"/>
  <c r="T66" i="63"/>
  <c r="P66" i="63"/>
  <c r="X66" i="63" s="1"/>
  <c r="H66" i="63"/>
  <c r="D66" i="63"/>
  <c r="L66" i="63" s="1"/>
  <c r="N66" i="63" s="1"/>
  <c r="B66" i="63"/>
  <c r="X65" i="63"/>
  <c r="Z65" i="63" s="1"/>
  <c r="N65" i="63"/>
  <c r="L65" i="63"/>
  <c r="B65" i="63"/>
  <c r="X64" i="63"/>
  <c r="Z64" i="63" s="1"/>
  <c r="T64" i="63"/>
  <c r="P64" i="63"/>
  <c r="H64" i="63"/>
  <c r="D64" i="63"/>
  <c r="B64" i="63"/>
  <c r="Z63" i="63"/>
  <c r="X63" i="63"/>
  <c r="N63" i="63"/>
  <c r="L63" i="63"/>
  <c r="F63" i="63"/>
  <c r="B63" i="63"/>
  <c r="T62" i="63"/>
  <c r="P62" i="63"/>
  <c r="L62" i="63"/>
  <c r="H62" i="63"/>
  <c r="F62" i="63"/>
  <c r="D62" i="63"/>
  <c r="B62" i="63"/>
  <c r="X61" i="63"/>
  <c r="Z61" i="63" s="1"/>
  <c r="L61" i="63"/>
  <c r="N61" i="63" s="1"/>
  <c r="B61" i="63"/>
  <c r="T60" i="63"/>
  <c r="P60" i="63"/>
  <c r="X60" i="63" s="1"/>
  <c r="Z60" i="63" s="1"/>
  <c r="H60" i="63"/>
  <c r="D60" i="63"/>
  <c r="L60" i="63" s="1"/>
  <c r="N60" i="63" s="1"/>
  <c r="B60" i="63"/>
  <c r="Z59" i="63"/>
  <c r="X59" i="63"/>
  <c r="L59" i="63"/>
  <c r="N59" i="63" s="1"/>
  <c r="B59" i="63"/>
  <c r="Z58" i="63"/>
  <c r="X58" i="63"/>
  <c r="T58" i="63"/>
  <c r="P58" i="63"/>
  <c r="H58" i="63"/>
  <c r="D58" i="63"/>
  <c r="L58" i="63" s="1"/>
  <c r="N58" i="63" s="1"/>
  <c r="B58" i="63"/>
  <c r="X57" i="63"/>
  <c r="Z57" i="63" s="1"/>
  <c r="V57" i="63"/>
  <c r="L57" i="63"/>
  <c r="N57" i="63" s="1"/>
  <c r="F57" i="63"/>
  <c r="B57" i="63"/>
  <c r="V56" i="63"/>
  <c r="T56" i="63"/>
  <c r="P56" i="63"/>
  <c r="X56" i="63" s="1"/>
  <c r="H56" i="63"/>
  <c r="F56" i="63"/>
  <c r="D56" i="63"/>
  <c r="B56" i="63"/>
  <c r="Z55" i="63"/>
  <c r="X55" i="63"/>
  <c r="N55" i="63"/>
  <c r="L55" i="63"/>
  <c r="F55" i="63"/>
  <c r="B55" i="63"/>
  <c r="T54" i="63"/>
  <c r="P54" i="63"/>
  <c r="N54" i="63"/>
  <c r="L54" i="63"/>
  <c r="H54" i="63"/>
  <c r="F54" i="63"/>
  <c r="D54" i="63"/>
  <c r="B54" i="63"/>
  <c r="X53" i="63"/>
  <c r="Z53" i="63" s="1"/>
  <c r="N53" i="63"/>
  <c r="L53" i="63"/>
  <c r="B53" i="63"/>
  <c r="V52" i="63"/>
  <c r="T52" i="63"/>
  <c r="P52" i="63"/>
  <c r="X52" i="63" s="1"/>
  <c r="Z52" i="63" s="1"/>
  <c r="N52" i="63"/>
  <c r="H52" i="63"/>
  <c r="L52" i="63" s="1"/>
  <c r="D52" i="63"/>
  <c r="B52" i="63"/>
  <c r="Z51" i="63"/>
  <c r="X51" i="63"/>
  <c r="L51" i="63"/>
  <c r="N51" i="63" s="1"/>
  <c r="B51" i="63"/>
  <c r="T50" i="63"/>
  <c r="P50" i="63"/>
  <c r="H50" i="63"/>
  <c r="D50" i="63"/>
  <c r="L50" i="63" s="1"/>
  <c r="B50" i="63"/>
  <c r="X49" i="63"/>
  <c r="Z49" i="63" s="1"/>
  <c r="V49" i="63"/>
  <c r="L49" i="63"/>
  <c r="N49" i="63" s="1"/>
  <c r="B49" i="63"/>
  <c r="Z48" i="63"/>
  <c r="X48" i="63"/>
  <c r="N48" i="63"/>
  <c r="L48" i="63"/>
  <c r="B48" i="63"/>
  <c r="Z47" i="63"/>
  <c r="V47" i="63"/>
  <c r="T47" i="63"/>
  <c r="X47" i="63" s="1"/>
  <c r="P47" i="63"/>
  <c r="L47" i="63"/>
  <c r="H47" i="63"/>
  <c r="D47" i="63"/>
  <c r="B47" i="63"/>
  <c r="X46" i="63"/>
  <c r="Z46" i="63" s="1"/>
  <c r="L46" i="63"/>
  <c r="N46" i="63" s="1"/>
  <c r="B46" i="63"/>
  <c r="V45" i="63"/>
  <c r="T45" i="63"/>
  <c r="P45" i="63"/>
  <c r="X45" i="63" s="1"/>
  <c r="H45" i="63"/>
  <c r="D45" i="63"/>
  <c r="B45" i="63"/>
  <c r="X44" i="63"/>
  <c r="Z44" i="63" s="1"/>
  <c r="N44" i="63"/>
  <c r="L44" i="63"/>
  <c r="B44" i="63"/>
  <c r="Z43" i="63"/>
  <c r="X43" i="63"/>
  <c r="N43" i="63"/>
  <c r="L43" i="63"/>
  <c r="F43" i="63"/>
  <c r="B43" i="63"/>
  <c r="T42" i="63"/>
  <c r="P42" i="63"/>
  <c r="L42" i="63"/>
  <c r="H42" i="63"/>
  <c r="F42" i="63"/>
  <c r="D42" i="63"/>
  <c r="B42" i="63"/>
  <c r="Z41" i="63"/>
  <c r="X41" i="63"/>
  <c r="N41" i="63"/>
  <c r="L41" i="63"/>
  <c r="F41" i="63"/>
  <c r="B41" i="63"/>
  <c r="Z40" i="63"/>
  <c r="T40" i="63"/>
  <c r="P40" i="63"/>
  <c r="X40" i="63" s="1"/>
  <c r="H40" i="63"/>
  <c r="N40" i="63" s="1"/>
  <c r="F40" i="63"/>
  <c r="D40" i="63"/>
  <c r="B40" i="63"/>
  <c r="Z39" i="63"/>
  <c r="X39" i="63"/>
  <c r="R39" i="63"/>
  <c r="N39" i="63"/>
  <c r="L39" i="63"/>
  <c r="B39" i="63"/>
  <c r="Z38" i="63"/>
  <c r="X38" i="63"/>
  <c r="V38" i="63"/>
  <c r="N38" i="63"/>
  <c r="L38" i="63"/>
  <c r="B38" i="63"/>
  <c r="X37" i="63"/>
  <c r="Z37" i="63" s="1"/>
  <c r="V37" i="63"/>
  <c r="N37" i="63"/>
  <c r="L37" i="63"/>
  <c r="B37" i="63"/>
  <c r="X36" i="63"/>
  <c r="Z36" i="63" s="1"/>
  <c r="V36" i="63"/>
  <c r="N36" i="63"/>
  <c r="L36" i="63"/>
  <c r="F36" i="63"/>
  <c r="B36" i="63"/>
  <c r="Z35" i="63"/>
  <c r="X35" i="63"/>
  <c r="N35" i="63"/>
  <c r="L35" i="63"/>
  <c r="B35" i="63"/>
  <c r="Z34" i="63"/>
  <c r="X34" i="63"/>
  <c r="V34" i="63"/>
  <c r="N34" i="63"/>
  <c r="L34" i="63"/>
  <c r="B34" i="63"/>
  <c r="X33" i="63"/>
  <c r="Z33" i="63" s="1"/>
  <c r="N33" i="63"/>
  <c r="L33" i="63"/>
  <c r="B33" i="63"/>
  <c r="Z32" i="63"/>
  <c r="X32" i="63"/>
  <c r="N32" i="63"/>
  <c r="L32" i="63"/>
  <c r="B32" i="63"/>
  <c r="Z31" i="63"/>
  <c r="X31" i="63"/>
  <c r="R31" i="63"/>
  <c r="L31" i="63"/>
  <c r="N31" i="63" s="1"/>
  <c r="B31" i="63"/>
  <c r="Z30" i="63"/>
  <c r="X30" i="63"/>
  <c r="V30" i="63"/>
  <c r="N30" i="63"/>
  <c r="L30" i="63"/>
  <c r="B30" i="63"/>
  <c r="T29" i="63"/>
  <c r="P29" i="63"/>
  <c r="L29" i="63"/>
  <c r="H29" i="63"/>
  <c r="N29" i="63" s="1"/>
  <c r="D29" i="63"/>
  <c r="B29" i="63"/>
  <c r="Z28" i="63"/>
  <c r="X28" i="63"/>
  <c r="N28" i="63"/>
  <c r="L28" i="63"/>
  <c r="F28" i="63"/>
  <c r="B28" i="63"/>
  <c r="X27" i="63"/>
  <c r="Z27" i="63" s="1"/>
  <c r="N27" i="63"/>
  <c r="L27" i="63"/>
  <c r="B27" i="63"/>
  <c r="Z26" i="63"/>
  <c r="X26" i="63"/>
  <c r="N26" i="63"/>
  <c r="L26" i="63"/>
  <c r="F26" i="63"/>
  <c r="B26" i="63"/>
  <c r="Z25" i="63"/>
  <c r="X25" i="63"/>
  <c r="N25" i="63"/>
  <c r="L25" i="63"/>
  <c r="F25" i="63"/>
  <c r="B25" i="63"/>
  <c r="X24" i="63"/>
  <c r="Z24" i="63" s="1"/>
  <c r="V24" i="63"/>
  <c r="N24" i="63"/>
  <c r="L24" i="63"/>
  <c r="F24" i="63"/>
  <c r="B24" i="63"/>
  <c r="X23" i="63"/>
  <c r="Z23" i="63" s="1"/>
  <c r="V23" i="63"/>
  <c r="N23" i="63"/>
  <c r="L23" i="63"/>
  <c r="F23" i="63"/>
  <c r="B23" i="63"/>
  <c r="X22" i="63"/>
  <c r="Z22" i="63" s="1"/>
  <c r="V22" i="63"/>
  <c r="N22" i="63"/>
  <c r="L22" i="63"/>
  <c r="F22" i="63"/>
  <c r="B22" i="63"/>
  <c r="X21" i="63"/>
  <c r="Z21" i="63" s="1"/>
  <c r="N21" i="63"/>
  <c r="L21" i="63"/>
  <c r="F21" i="63"/>
  <c r="B21" i="63"/>
  <c r="X20" i="63"/>
  <c r="Z20" i="63" s="1"/>
  <c r="V20" i="63"/>
  <c r="N20" i="63"/>
  <c r="L20" i="63"/>
  <c r="F20" i="63"/>
  <c r="B20" i="63"/>
  <c r="X19" i="63"/>
  <c r="V19" i="63"/>
  <c r="T19" i="63"/>
  <c r="Z19" i="63" s="1"/>
  <c r="P19" i="63"/>
  <c r="L19" i="63"/>
  <c r="H19" i="63"/>
  <c r="F19" i="63"/>
  <c r="D19" i="63"/>
  <c r="B19" i="63"/>
  <c r="T18" i="63"/>
  <c r="P18" i="63"/>
  <c r="H18" i="63"/>
  <c r="F18" i="63"/>
  <c r="D18" i="63"/>
  <c r="F16" i="63"/>
  <c r="T14" i="63"/>
  <c r="Z14" i="63" s="1"/>
  <c r="P14" i="63"/>
  <c r="N14" i="63"/>
  <c r="H14" i="63"/>
  <c r="F14" i="63"/>
  <c r="D14" i="63"/>
  <c r="D16" i="63" s="1"/>
  <c r="Z12" i="63"/>
  <c r="T12" i="63"/>
  <c r="V92" i="63" s="1"/>
  <c r="P12" i="63"/>
  <c r="R91" i="63" s="1"/>
  <c r="H12" i="63"/>
  <c r="J27" i="63" s="1"/>
  <c r="D12" i="63"/>
  <c r="D6" i="63"/>
  <c r="D4" i="63"/>
  <c r="V67" i="61"/>
  <c r="J67" i="61"/>
  <c r="V64" i="61"/>
  <c r="J64" i="61"/>
  <c r="Z62" i="61"/>
  <c r="X62" i="61"/>
  <c r="V62" i="61"/>
  <c r="N62" i="61"/>
  <c r="L62" i="61"/>
  <c r="T58" i="61"/>
  <c r="Z58" i="61" s="1"/>
  <c r="P58" i="61"/>
  <c r="N58" i="61"/>
  <c r="H58" i="61"/>
  <c r="D58" i="61"/>
  <c r="L58" i="61" s="1"/>
  <c r="Z56" i="61"/>
  <c r="X56" i="61"/>
  <c r="N56" i="61"/>
  <c r="L56" i="61"/>
  <c r="J56" i="61"/>
  <c r="B56" i="61"/>
  <c r="T55" i="61"/>
  <c r="X55" i="61" s="1"/>
  <c r="Z55" i="61" s="1"/>
  <c r="P55" i="61"/>
  <c r="H55" i="61"/>
  <c r="N55" i="61" s="1"/>
  <c r="D55" i="61"/>
  <c r="L55" i="61" s="1"/>
  <c r="B55" i="61"/>
  <c r="Z54" i="61"/>
  <c r="X54" i="61"/>
  <c r="N54" i="61"/>
  <c r="L54" i="61"/>
  <c r="B54" i="61"/>
  <c r="X53" i="61"/>
  <c r="Z53" i="61" s="1"/>
  <c r="N53" i="61"/>
  <c r="L53" i="61"/>
  <c r="J53" i="61"/>
  <c r="B53" i="61"/>
  <c r="V52" i="61"/>
  <c r="T52" i="61"/>
  <c r="P52" i="61"/>
  <c r="X52" i="61" s="1"/>
  <c r="Z52" i="61" s="1"/>
  <c r="J52" i="61"/>
  <c r="H52" i="61"/>
  <c r="N52" i="61" s="1"/>
  <c r="D52" i="61"/>
  <c r="L52" i="61" s="1"/>
  <c r="B52" i="61"/>
  <c r="X51" i="61"/>
  <c r="Z51" i="61" s="1"/>
  <c r="N51" i="61"/>
  <c r="L51" i="61"/>
  <c r="F51" i="61"/>
  <c r="B51" i="61"/>
  <c r="X50" i="61"/>
  <c r="T50" i="61"/>
  <c r="Z50" i="61" s="1"/>
  <c r="R50" i="61"/>
  <c r="P50" i="61"/>
  <c r="L50" i="61"/>
  <c r="N50" i="61" s="1"/>
  <c r="H50" i="61"/>
  <c r="F50" i="61"/>
  <c r="D50" i="61"/>
  <c r="B50" i="61"/>
  <c r="Z49" i="61"/>
  <c r="X49" i="61"/>
  <c r="R49" i="61"/>
  <c r="N49" i="61"/>
  <c r="L49" i="61"/>
  <c r="J49" i="61"/>
  <c r="B49" i="61"/>
  <c r="T48" i="61"/>
  <c r="P48" i="61"/>
  <c r="N48" i="61"/>
  <c r="J48" i="61"/>
  <c r="H48" i="61"/>
  <c r="D48" i="61"/>
  <c r="L48" i="61" s="1"/>
  <c r="B48" i="61"/>
  <c r="Z47" i="61"/>
  <c r="X47" i="61"/>
  <c r="L47" i="61"/>
  <c r="N47" i="61" s="1"/>
  <c r="F47" i="61"/>
  <c r="B47" i="61"/>
  <c r="T46" i="61"/>
  <c r="P46" i="61"/>
  <c r="X46" i="61" s="1"/>
  <c r="J46" i="61"/>
  <c r="H46" i="61"/>
  <c r="F46" i="61"/>
  <c r="D46" i="61"/>
  <c r="L46" i="61" s="1"/>
  <c r="N46" i="61" s="1"/>
  <c r="B46" i="61"/>
  <c r="X45" i="61"/>
  <c r="Z45" i="61" s="1"/>
  <c r="N45" i="61"/>
  <c r="L45" i="61"/>
  <c r="F45" i="61"/>
  <c r="B45" i="61"/>
  <c r="X44" i="61"/>
  <c r="Z44" i="61" s="1"/>
  <c r="T44" i="61"/>
  <c r="P44" i="61"/>
  <c r="L44" i="61"/>
  <c r="H44" i="61"/>
  <c r="N44" i="61" s="1"/>
  <c r="F44" i="61"/>
  <c r="D44" i="61"/>
  <c r="B44" i="61"/>
  <c r="Z43" i="61"/>
  <c r="X43" i="61"/>
  <c r="N43" i="61"/>
  <c r="L43" i="61"/>
  <c r="J43" i="61"/>
  <c r="B43" i="61"/>
  <c r="Z42" i="61"/>
  <c r="T42" i="61"/>
  <c r="P42" i="61"/>
  <c r="X42" i="61" s="1"/>
  <c r="H42" i="61"/>
  <c r="D42" i="61"/>
  <c r="B42" i="61"/>
  <c r="X41" i="61"/>
  <c r="Z41" i="61" s="1"/>
  <c r="L41" i="61"/>
  <c r="N41" i="61" s="1"/>
  <c r="J41" i="61"/>
  <c r="B41" i="61"/>
  <c r="V40" i="61"/>
  <c r="T40" i="61"/>
  <c r="P40" i="61"/>
  <c r="X40" i="61" s="1"/>
  <c r="Z40" i="61" s="1"/>
  <c r="J40" i="61"/>
  <c r="H40" i="61"/>
  <c r="D40" i="61"/>
  <c r="L40" i="61" s="1"/>
  <c r="B40" i="61"/>
  <c r="Z39" i="61"/>
  <c r="X39" i="61"/>
  <c r="N39" i="61"/>
  <c r="L39" i="61"/>
  <c r="F39" i="61"/>
  <c r="B39" i="61"/>
  <c r="Z38" i="61"/>
  <c r="X38" i="61"/>
  <c r="N38" i="61"/>
  <c r="L38" i="61"/>
  <c r="J38" i="61"/>
  <c r="F38" i="61"/>
  <c r="B38" i="61"/>
  <c r="X37" i="61"/>
  <c r="Z37" i="61" s="1"/>
  <c r="N37" i="61"/>
  <c r="L37" i="61"/>
  <c r="F37" i="61"/>
  <c r="B37" i="61"/>
  <c r="X36" i="61"/>
  <c r="Z36" i="61" s="1"/>
  <c r="N36" i="61"/>
  <c r="L36" i="61"/>
  <c r="F36" i="61"/>
  <c r="B36" i="61"/>
  <c r="Z35" i="61"/>
  <c r="X35" i="61"/>
  <c r="N35" i="61"/>
  <c r="L35" i="61"/>
  <c r="F35" i="61"/>
  <c r="B35" i="61"/>
  <c r="Z34" i="61"/>
  <c r="X34" i="61"/>
  <c r="N34" i="61"/>
  <c r="L34" i="61"/>
  <c r="J34" i="61"/>
  <c r="F34" i="61"/>
  <c r="B34" i="61"/>
  <c r="X33" i="61"/>
  <c r="Z33" i="61" s="1"/>
  <c r="N33" i="61"/>
  <c r="L33" i="61"/>
  <c r="F33" i="61"/>
  <c r="B33" i="61"/>
  <c r="Z32" i="61"/>
  <c r="X32" i="61"/>
  <c r="N32" i="61"/>
  <c r="L32" i="61"/>
  <c r="F32" i="61"/>
  <c r="B32" i="61"/>
  <c r="Z31" i="61"/>
  <c r="X31" i="61"/>
  <c r="N31" i="61"/>
  <c r="L31" i="61"/>
  <c r="F31" i="61"/>
  <c r="B31" i="61"/>
  <c r="Z30" i="61"/>
  <c r="X30" i="61"/>
  <c r="N30" i="61"/>
  <c r="L30" i="61"/>
  <c r="J30" i="61"/>
  <c r="F30" i="61"/>
  <c r="B30" i="61"/>
  <c r="X29" i="61"/>
  <c r="Z29" i="61" s="1"/>
  <c r="T29" i="61"/>
  <c r="P29" i="61"/>
  <c r="L29" i="61"/>
  <c r="H29" i="61"/>
  <c r="N29" i="61" s="1"/>
  <c r="F29" i="61"/>
  <c r="D29" i="61"/>
  <c r="B29" i="61"/>
  <c r="X28" i="61"/>
  <c r="Z28" i="61" s="1"/>
  <c r="N28" i="61"/>
  <c r="L28" i="61"/>
  <c r="J28" i="61"/>
  <c r="B28" i="61"/>
  <c r="Z27" i="61"/>
  <c r="X27" i="61"/>
  <c r="N27" i="61"/>
  <c r="L27" i="61"/>
  <c r="J27" i="61"/>
  <c r="B27" i="61"/>
  <c r="Z26" i="61"/>
  <c r="X26" i="61"/>
  <c r="N26" i="61"/>
  <c r="L26" i="61"/>
  <c r="J26" i="61"/>
  <c r="F26" i="61"/>
  <c r="B26" i="61"/>
  <c r="Z25" i="61"/>
  <c r="X25" i="61"/>
  <c r="R25" i="61"/>
  <c r="N25" i="61"/>
  <c r="L25" i="61"/>
  <c r="J25" i="61"/>
  <c r="B25" i="61"/>
  <c r="Z24" i="61"/>
  <c r="X24" i="61"/>
  <c r="N24" i="61"/>
  <c r="L24" i="61"/>
  <c r="J24" i="61"/>
  <c r="B24" i="61"/>
  <c r="Z23" i="61"/>
  <c r="X23" i="61"/>
  <c r="N23" i="61"/>
  <c r="L23" i="61"/>
  <c r="J23" i="61"/>
  <c r="B23" i="61"/>
  <c r="Z22" i="61"/>
  <c r="X22" i="61"/>
  <c r="N22" i="61"/>
  <c r="L22" i="61"/>
  <c r="J22" i="61"/>
  <c r="F22" i="61"/>
  <c r="B22" i="61"/>
  <c r="Z21" i="61"/>
  <c r="X21" i="61"/>
  <c r="R21" i="61"/>
  <c r="L21" i="61"/>
  <c r="N21" i="61" s="1"/>
  <c r="J21" i="61"/>
  <c r="B21" i="61"/>
  <c r="X20" i="61"/>
  <c r="Z20" i="61" s="1"/>
  <c r="N20" i="61"/>
  <c r="L20" i="61"/>
  <c r="J20" i="61"/>
  <c r="B20" i="61"/>
  <c r="T19" i="61"/>
  <c r="X19" i="61" s="1"/>
  <c r="Z19" i="61" s="1"/>
  <c r="P19" i="61"/>
  <c r="H19" i="61"/>
  <c r="D19" i="61"/>
  <c r="L19" i="61" s="1"/>
  <c r="B19" i="61"/>
  <c r="T18" i="61"/>
  <c r="P18" i="61"/>
  <c r="X18" i="61" s="1"/>
  <c r="J18" i="61"/>
  <c r="H18" i="61"/>
  <c r="F18" i="61"/>
  <c r="D18" i="61"/>
  <c r="J16" i="61"/>
  <c r="F16" i="61"/>
  <c r="T14" i="61"/>
  <c r="Z14" i="61" s="1"/>
  <c r="P14" i="61"/>
  <c r="X14" i="61" s="1"/>
  <c r="N14" i="61"/>
  <c r="J14" i="61"/>
  <c r="H14" i="61"/>
  <c r="F14" i="61"/>
  <c r="D14" i="61"/>
  <c r="D16" i="61" s="1"/>
  <c r="T12" i="61"/>
  <c r="V42" i="61" s="1"/>
  <c r="P12" i="61"/>
  <c r="R67" i="61" s="1"/>
  <c r="L12" i="61"/>
  <c r="H12" i="61"/>
  <c r="J60" i="61" s="1"/>
  <c r="D12" i="61"/>
  <c r="F60" i="61" s="1"/>
  <c r="D6" i="61"/>
  <c r="D4" i="61"/>
  <c r="F65" i="60"/>
  <c r="F62" i="60"/>
  <c r="Z60" i="60"/>
  <c r="X60" i="60"/>
  <c r="N60" i="60"/>
  <c r="L60" i="60"/>
  <c r="F60" i="60"/>
  <c r="V58" i="60"/>
  <c r="V56" i="60"/>
  <c r="T56" i="60"/>
  <c r="Z56" i="60" s="1"/>
  <c r="P56" i="60"/>
  <c r="X56" i="60" s="1"/>
  <c r="H56" i="60"/>
  <c r="N56" i="60" s="1"/>
  <c r="D56" i="60"/>
  <c r="L56" i="60" s="1"/>
  <c r="X54" i="60"/>
  <c r="Z54" i="60" s="1"/>
  <c r="V54" i="60"/>
  <c r="L54" i="60"/>
  <c r="N54" i="60" s="1"/>
  <c r="B54" i="60"/>
  <c r="V53" i="60"/>
  <c r="T53" i="60"/>
  <c r="P53" i="60"/>
  <c r="X53" i="60" s="1"/>
  <c r="Z53" i="60" s="1"/>
  <c r="H53" i="60"/>
  <c r="N53" i="60" s="1"/>
  <c r="D53" i="60"/>
  <c r="L53" i="60" s="1"/>
  <c r="B53" i="60"/>
  <c r="X52" i="60"/>
  <c r="Z52" i="60" s="1"/>
  <c r="N52" i="60"/>
  <c r="L52" i="60"/>
  <c r="F52" i="60"/>
  <c r="B52" i="60"/>
  <c r="Z51" i="60"/>
  <c r="X51" i="60"/>
  <c r="V51" i="60"/>
  <c r="N51" i="60"/>
  <c r="L51" i="60"/>
  <c r="F51" i="60"/>
  <c r="B51" i="60"/>
  <c r="Z50" i="60"/>
  <c r="X50" i="60"/>
  <c r="N50" i="60"/>
  <c r="L50" i="60"/>
  <c r="F50" i="60"/>
  <c r="B50" i="60"/>
  <c r="X49" i="60"/>
  <c r="T49" i="60"/>
  <c r="Z49" i="60" s="1"/>
  <c r="P49" i="60"/>
  <c r="N49" i="60"/>
  <c r="L49" i="60"/>
  <c r="H49" i="60"/>
  <c r="F49" i="60"/>
  <c r="D49" i="60"/>
  <c r="B49" i="60"/>
  <c r="Z48" i="60"/>
  <c r="X48" i="60"/>
  <c r="V48" i="60"/>
  <c r="L48" i="60"/>
  <c r="N48" i="60" s="1"/>
  <c r="F48" i="60"/>
  <c r="B48" i="60"/>
  <c r="T47" i="60"/>
  <c r="P47" i="60"/>
  <c r="H47" i="60"/>
  <c r="L47" i="60" s="1"/>
  <c r="N47" i="60" s="1"/>
  <c r="F47" i="60"/>
  <c r="D47" i="60"/>
  <c r="B47" i="60"/>
  <c r="Z46" i="60"/>
  <c r="X46" i="60"/>
  <c r="V46" i="60"/>
  <c r="N46" i="60"/>
  <c r="L46" i="60"/>
  <c r="B46" i="60"/>
  <c r="Z45" i="60"/>
  <c r="X45" i="60"/>
  <c r="V45" i="60"/>
  <c r="L45" i="60"/>
  <c r="N45" i="60" s="1"/>
  <c r="F45" i="60"/>
  <c r="B45" i="60"/>
  <c r="V44" i="60"/>
  <c r="T44" i="60"/>
  <c r="P44" i="60"/>
  <c r="X44" i="60" s="1"/>
  <c r="H44" i="60"/>
  <c r="F44" i="60"/>
  <c r="D44" i="60"/>
  <c r="L44" i="60" s="1"/>
  <c r="N44" i="60" s="1"/>
  <c r="B44" i="60"/>
  <c r="X43" i="60"/>
  <c r="Z43" i="60" s="1"/>
  <c r="V43" i="60"/>
  <c r="N43" i="60"/>
  <c r="L43" i="60"/>
  <c r="F43" i="60"/>
  <c r="B43" i="60"/>
  <c r="T42" i="60"/>
  <c r="P42" i="60"/>
  <c r="X42" i="60" s="1"/>
  <c r="Z42" i="60" s="1"/>
  <c r="L42" i="60"/>
  <c r="H42" i="60"/>
  <c r="N42" i="60" s="1"/>
  <c r="F42" i="60"/>
  <c r="D42" i="60"/>
  <c r="B42" i="60"/>
  <c r="Z41" i="60"/>
  <c r="X41" i="60"/>
  <c r="N41" i="60"/>
  <c r="L41" i="60"/>
  <c r="B41" i="60"/>
  <c r="V40" i="60"/>
  <c r="T40" i="60"/>
  <c r="X40" i="60" s="1"/>
  <c r="Z40" i="60" s="1"/>
  <c r="P40" i="60"/>
  <c r="L40" i="60"/>
  <c r="H40" i="60"/>
  <c r="N40" i="60" s="1"/>
  <c r="D40" i="60"/>
  <c r="B40" i="60"/>
  <c r="Z39" i="60"/>
  <c r="X39" i="60"/>
  <c r="V39" i="60"/>
  <c r="N39" i="60"/>
  <c r="L39" i="60"/>
  <c r="B39" i="60"/>
  <c r="Z38" i="60"/>
  <c r="X38" i="60"/>
  <c r="V38" i="60"/>
  <c r="N38" i="60"/>
  <c r="L38" i="60"/>
  <c r="B38" i="60"/>
  <c r="Z37" i="60"/>
  <c r="X37" i="60"/>
  <c r="V37" i="60"/>
  <c r="N37" i="60"/>
  <c r="L37" i="60"/>
  <c r="F37" i="60"/>
  <c r="B37" i="60"/>
  <c r="Z36" i="60"/>
  <c r="X36" i="60"/>
  <c r="V36" i="60"/>
  <c r="N36" i="60"/>
  <c r="L36" i="60"/>
  <c r="B36" i="60"/>
  <c r="Z35" i="60"/>
  <c r="X35" i="60"/>
  <c r="V35" i="60"/>
  <c r="N35" i="60"/>
  <c r="L35" i="60"/>
  <c r="B35" i="60"/>
  <c r="Z34" i="60"/>
  <c r="X34" i="60"/>
  <c r="V34" i="60"/>
  <c r="N34" i="60"/>
  <c r="L34" i="60"/>
  <c r="B34" i="60"/>
  <c r="Z33" i="60"/>
  <c r="X33" i="60"/>
  <c r="V33" i="60"/>
  <c r="L33" i="60"/>
  <c r="N33" i="60" s="1"/>
  <c r="F33" i="60"/>
  <c r="B33" i="60"/>
  <c r="Z32" i="60"/>
  <c r="X32" i="60"/>
  <c r="V32" i="60"/>
  <c r="N32" i="60"/>
  <c r="L32" i="60"/>
  <c r="B32" i="60"/>
  <c r="Z31" i="60"/>
  <c r="X31" i="60"/>
  <c r="V31" i="60"/>
  <c r="N31" i="60"/>
  <c r="L31" i="60"/>
  <c r="B31" i="60"/>
  <c r="Z30" i="60"/>
  <c r="X30" i="60"/>
  <c r="V30" i="60"/>
  <c r="N30" i="60"/>
  <c r="L30" i="60"/>
  <c r="B30" i="60"/>
  <c r="V29" i="60"/>
  <c r="T29" i="60"/>
  <c r="P29" i="60"/>
  <c r="X29" i="60" s="1"/>
  <c r="Z29" i="60" s="1"/>
  <c r="H29" i="60"/>
  <c r="D29" i="60"/>
  <c r="L29" i="60" s="1"/>
  <c r="N29" i="60" s="1"/>
  <c r="B29" i="60"/>
  <c r="Z28" i="60"/>
  <c r="X28" i="60"/>
  <c r="N28" i="60"/>
  <c r="L28" i="60"/>
  <c r="F28" i="60"/>
  <c r="B28" i="60"/>
  <c r="X27" i="60"/>
  <c r="Z27" i="60" s="1"/>
  <c r="V27" i="60"/>
  <c r="N27" i="60"/>
  <c r="L27" i="60"/>
  <c r="F27" i="60"/>
  <c r="B27" i="60"/>
  <c r="X26" i="60"/>
  <c r="Z26" i="60" s="1"/>
  <c r="V26" i="60"/>
  <c r="L26" i="60"/>
  <c r="N26" i="60" s="1"/>
  <c r="F26" i="60"/>
  <c r="B26" i="60"/>
  <c r="Z25" i="60"/>
  <c r="X25" i="60"/>
  <c r="V25" i="60"/>
  <c r="N25" i="60"/>
  <c r="L25" i="60"/>
  <c r="F25" i="60"/>
  <c r="B25" i="60"/>
  <c r="Z24" i="60"/>
  <c r="X24" i="60"/>
  <c r="V24" i="60"/>
  <c r="N24" i="60"/>
  <c r="L24" i="60"/>
  <c r="F24" i="60"/>
  <c r="B24" i="60"/>
  <c r="X23" i="60"/>
  <c r="Z23" i="60" s="1"/>
  <c r="V23" i="60"/>
  <c r="N23" i="60"/>
  <c r="L23" i="60"/>
  <c r="F23" i="60"/>
  <c r="B23" i="60"/>
  <c r="X22" i="60"/>
  <c r="Z22" i="60" s="1"/>
  <c r="V22" i="60"/>
  <c r="L22" i="60"/>
  <c r="N22" i="60" s="1"/>
  <c r="F22" i="60"/>
  <c r="B22" i="60"/>
  <c r="X21" i="60"/>
  <c r="Z21" i="60" s="1"/>
  <c r="V21" i="60"/>
  <c r="N21" i="60"/>
  <c r="L21" i="60"/>
  <c r="F21" i="60"/>
  <c r="B21" i="60"/>
  <c r="X20" i="60"/>
  <c r="Z20" i="60" s="1"/>
  <c r="V20" i="60"/>
  <c r="N20" i="60"/>
  <c r="L20" i="60"/>
  <c r="F20" i="60"/>
  <c r="B20" i="60"/>
  <c r="X19" i="60"/>
  <c r="Z19" i="60" s="1"/>
  <c r="V19" i="60"/>
  <c r="T19" i="60"/>
  <c r="P19" i="60"/>
  <c r="L19" i="60"/>
  <c r="H19" i="60"/>
  <c r="N19" i="60" s="1"/>
  <c r="F19" i="60"/>
  <c r="D19" i="60"/>
  <c r="B19" i="60"/>
  <c r="T18" i="60"/>
  <c r="P18" i="60"/>
  <c r="H18" i="60"/>
  <c r="N18" i="60" s="1"/>
  <c r="D18" i="60"/>
  <c r="L18" i="60" s="1"/>
  <c r="T14" i="60"/>
  <c r="P14" i="60"/>
  <c r="N14" i="60"/>
  <c r="H14" i="60"/>
  <c r="F14" i="60"/>
  <c r="D14" i="60"/>
  <c r="D16" i="60" s="1"/>
  <c r="Z12" i="60"/>
  <c r="T12" i="60"/>
  <c r="V65" i="60" s="1"/>
  <c r="P12" i="60"/>
  <c r="H12" i="60"/>
  <c r="J44" i="60" s="1"/>
  <c r="D12" i="60"/>
  <c r="F18" i="60" s="1"/>
  <c r="D6" i="60"/>
  <c r="D4" i="60"/>
  <c r="V76" i="59"/>
  <c r="J76" i="59"/>
  <c r="V73" i="59"/>
  <c r="Z71" i="59"/>
  <c r="X71" i="59"/>
  <c r="V71" i="59"/>
  <c r="N71" i="59"/>
  <c r="L71" i="59"/>
  <c r="T67" i="59"/>
  <c r="Z67" i="59" s="1"/>
  <c r="P67" i="59"/>
  <c r="X67" i="59" s="1"/>
  <c r="H67" i="59"/>
  <c r="D67" i="59"/>
  <c r="Z65" i="59"/>
  <c r="X65" i="59"/>
  <c r="L65" i="59"/>
  <c r="N65" i="59" s="1"/>
  <c r="F65" i="59"/>
  <c r="B65" i="59"/>
  <c r="T64" i="59"/>
  <c r="Z64" i="59" s="1"/>
  <c r="P64" i="59"/>
  <c r="X64" i="59" s="1"/>
  <c r="N64" i="59"/>
  <c r="H64" i="59"/>
  <c r="L64" i="59" s="1"/>
  <c r="F64" i="59"/>
  <c r="D64" i="59"/>
  <c r="B64" i="59"/>
  <c r="X63" i="59"/>
  <c r="Z63" i="59" s="1"/>
  <c r="V63" i="59"/>
  <c r="L63" i="59"/>
  <c r="N63" i="59" s="1"/>
  <c r="B63" i="59"/>
  <c r="Z62" i="59"/>
  <c r="X62" i="59"/>
  <c r="V62" i="59"/>
  <c r="L62" i="59"/>
  <c r="N62" i="59" s="1"/>
  <c r="B62" i="59"/>
  <c r="V61" i="59"/>
  <c r="T61" i="59"/>
  <c r="P61" i="59"/>
  <c r="X61" i="59" s="1"/>
  <c r="H61" i="59"/>
  <c r="D61" i="59"/>
  <c r="L61" i="59" s="1"/>
  <c r="B61" i="59"/>
  <c r="X60" i="59"/>
  <c r="Z60" i="59" s="1"/>
  <c r="V60" i="59"/>
  <c r="N60" i="59"/>
  <c r="L60" i="59"/>
  <c r="F60" i="59"/>
  <c r="B60" i="59"/>
  <c r="T59" i="59"/>
  <c r="P59" i="59"/>
  <c r="X59" i="59" s="1"/>
  <c r="Z59" i="59" s="1"/>
  <c r="L59" i="59"/>
  <c r="H59" i="59"/>
  <c r="N59" i="59" s="1"/>
  <c r="F59" i="59"/>
  <c r="D59" i="59"/>
  <c r="B59" i="59"/>
  <c r="Z58" i="59"/>
  <c r="X58" i="59"/>
  <c r="N58" i="59"/>
  <c r="L58" i="59"/>
  <c r="B58" i="59"/>
  <c r="Z57" i="59"/>
  <c r="X57" i="59"/>
  <c r="R57" i="59"/>
  <c r="N57" i="59"/>
  <c r="L57" i="59"/>
  <c r="F57" i="59"/>
  <c r="B57" i="59"/>
  <c r="Z56" i="59"/>
  <c r="T56" i="59"/>
  <c r="P56" i="59"/>
  <c r="X56" i="59" s="1"/>
  <c r="H56" i="59"/>
  <c r="L56" i="59" s="1"/>
  <c r="N56" i="59" s="1"/>
  <c r="F56" i="59"/>
  <c r="D56" i="59"/>
  <c r="B56" i="59"/>
  <c r="X55" i="59"/>
  <c r="Z55" i="59" s="1"/>
  <c r="V55" i="59"/>
  <c r="L55" i="59"/>
  <c r="N55" i="59" s="1"/>
  <c r="B55" i="59"/>
  <c r="Z54" i="59"/>
  <c r="X54" i="59"/>
  <c r="V54" i="59"/>
  <c r="L54" i="59"/>
  <c r="N54" i="59" s="1"/>
  <c r="B54" i="59"/>
  <c r="Z53" i="59"/>
  <c r="X53" i="59"/>
  <c r="V53" i="59"/>
  <c r="R53" i="59"/>
  <c r="L53" i="59"/>
  <c r="N53" i="59" s="1"/>
  <c r="B53" i="59"/>
  <c r="V52" i="59"/>
  <c r="T52" i="59"/>
  <c r="Z52" i="59" s="1"/>
  <c r="P52" i="59"/>
  <c r="X52" i="59" s="1"/>
  <c r="H52" i="59"/>
  <c r="D52" i="59"/>
  <c r="L52" i="59" s="1"/>
  <c r="N52" i="59" s="1"/>
  <c r="B52" i="59"/>
  <c r="X51" i="59"/>
  <c r="Z51" i="59" s="1"/>
  <c r="L51" i="59"/>
  <c r="N51" i="59" s="1"/>
  <c r="F51" i="59"/>
  <c r="B51" i="59"/>
  <c r="X50" i="59"/>
  <c r="T50" i="59"/>
  <c r="Z50" i="59" s="1"/>
  <c r="P50" i="59"/>
  <c r="L50" i="59"/>
  <c r="N50" i="59" s="1"/>
  <c r="H50" i="59"/>
  <c r="F50" i="59"/>
  <c r="D50" i="59"/>
  <c r="B50" i="59"/>
  <c r="Z49" i="59"/>
  <c r="X49" i="59"/>
  <c r="V49" i="59"/>
  <c r="N49" i="59"/>
  <c r="L49" i="59"/>
  <c r="F49" i="59"/>
  <c r="B49" i="59"/>
  <c r="T48" i="59"/>
  <c r="Z48" i="59" s="1"/>
  <c r="P48" i="59"/>
  <c r="X48" i="59" s="1"/>
  <c r="N48" i="59"/>
  <c r="H48" i="59"/>
  <c r="L48" i="59" s="1"/>
  <c r="F48" i="59"/>
  <c r="D48" i="59"/>
  <c r="B48" i="59"/>
  <c r="Z47" i="59"/>
  <c r="X47" i="59"/>
  <c r="V47" i="59"/>
  <c r="N47" i="59"/>
  <c r="L47" i="59"/>
  <c r="B47" i="59"/>
  <c r="Z46" i="59"/>
  <c r="V46" i="59"/>
  <c r="T46" i="59"/>
  <c r="P46" i="59"/>
  <c r="X46" i="59" s="1"/>
  <c r="H46" i="59"/>
  <c r="N46" i="59" s="1"/>
  <c r="D46" i="59"/>
  <c r="L46" i="59" s="1"/>
  <c r="B46" i="59"/>
  <c r="X45" i="59"/>
  <c r="Z45" i="59" s="1"/>
  <c r="N45" i="59"/>
  <c r="L45" i="59"/>
  <c r="F45" i="59"/>
  <c r="B45" i="59"/>
  <c r="X44" i="59"/>
  <c r="Z44" i="59" s="1"/>
  <c r="V44" i="59"/>
  <c r="N44" i="59"/>
  <c r="L44" i="59"/>
  <c r="F44" i="59"/>
  <c r="B44" i="59"/>
  <c r="X43" i="59"/>
  <c r="Z43" i="59" s="1"/>
  <c r="T43" i="59"/>
  <c r="P43" i="59"/>
  <c r="L43" i="59"/>
  <c r="H43" i="59"/>
  <c r="N43" i="59" s="1"/>
  <c r="F43" i="59"/>
  <c r="D43" i="59"/>
  <c r="B43" i="59"/>
  <c r="Z42" i="59"/>
  <c r="X42" i="59"/>
  <c r="N42" i="59"/>
  <c r="L42" i="59"/>
  <c r="B42" i="59"/>
  <c r="V41" i="59"/>
  <c r="T41" i="59"/>
  <c r="X41" i="59" s="1"/>
  <c r="P41" i="59"/>
  <c r="L41" i="59"/>
  <c r="H41" i="59"/>
  <c r="N41" i="59" s="1"/>
  <c r="D41" i="59"/>
  <c r="B41" i="59"/>
  <c r="Z40" i="59"/>
  <c r="X40" i="59"/>
  <c r="V40" i="59"/>
  <c r="N40" i="59"/>
  <c r="L40" i="59"/>
  <c r="B40" i="59"/>
  <c r="Z39" i="59"/>
  <c r="X39" i="59"/>
  <c r="V39" i="59"/>
  <c r="N39" i="59"/>
  <c r="L39" i="59"/>
  <c r="B39" i="59"/>
  <c r="Z38" i="59"/>
  <c r="X38" i="59"/>
  <c r="V38" i="59"/>
  <c r="N38" i="59"/>
  <c r="L38" i="59"/>
  <c r="F38" i="59"/>
  <c r="B38" i="59"/>
  <c r="Z37" i="59"/>
  <c r="X37" i="59"/>
  <c r="V37" i="59"/>
  <c r="N37" i="59"/>
  <c r="L37" i="59"/>
  <c r="B37" i="59"/>
  <c r="Z36" i="59"/>
  <c r="X36" i="59"/>
  <c r="V36" i="59"/>
  <c r="N36" i="59"/>
  <c r="L36" i="59"/>
  <c r="B36" i="59"/>
  <c r="Z35" i="59"/>
  <c r="X35" i="59"/>
  <c r="V35" i="59"/>
  <c r="N35" i="59"/>
  <c r="L35" i="59"/>
  <c r="B35" i="59"/>
  <c r="Z34" i="59"/>
  <c r="X34" i="59"/>
  <c r="V34" i="59"/>
  <c r="L34" i="59"/>
  <c r="N34" i="59" s="1"/>
  <c r="F34" i="59"/>
  <c r="B34" i="59"/>
  <c r="Z33" i="59"/>
  <c r="X33" i="59"/>
  <c r="V33" i="59"/>
  <c r="N33" i="59"/>
  <c r="L33" i="59"/>
  <c r="B33" i="59"/>
  <c r="X32" i="59"/>
  <c r="Z32" i="59" s="1"/>
  <c r="V32" i="59"/>
  <c r="L32" i="59"/>
  <c r="N32" i="59" s="1"/>
  <c r="J32" i="59"/>
  <c r="B32" i="59"/>
  <c r="Z31" i="59"/>
  <c r="X31" i="59"/>
  <c r="V31" i="59"/>
  <c r="N31" i="59"/>
  <c r="L31" i="59"/>
  <c r="B31" i="59"/>
  <c r="V30" i="59"/>
  <c r="T30" i="59"/>
  <c r="P30" i="59"/>
  <c r="X30" i="59" s="1"/>
  <c r="Z30" i="59" s="1"/>
  <c r="H30" i="59"/>
  <c r="D30" i="59"/>
  <c r="L30" i="59" s="1"/>
  <c r="B30" i="59"/>
  <c r="X29" i="59"/>
  <c r="Z29" i="59" s="1"/>
  <c r="N29" i="59"/>
  <c r="L29" i="59"/>
  <c r="F29" i="59"/>
  <c r="B29" i="59"/>
  <c r="X28" i="59"/>
  <c r="Z28" i="59" s="1"/>
  <c r="V28" i="59"/>
  <c r="N28" i="59"/>
  <c r="L28" i="59"/>
  <c r="F28" i="59"/>
  <c r="B28" i="59"/>
  <c r="X27" i="59"/>
  <c r="Z27" i="59" s="1"/>
  <c r="N27" i="59"/>
  <c r="L27" i="59"/>
  <c r="F27" i="59"/>
  <c r="B27" i="59"/>
  <c r="Z26" i="59"/>
  <c r="X26" i="59"/>
  <c r="N26" i="59"/>
  <c r="L26" i="59"/>
  <c r="F26" i="59"/>
  <c r="B26" i="59"/>
  <c r="X25" i="59"/>
  <c r="Z25" i="59" s="1"/>
  <c r="N25" i="59"/>
  <c r="L25" i="59"/>
  <c r="F25" i="59"/>
  <c r="B25" i="59"/>
  <c r="X24" i="59"/>
  <c r="Z24" i="59" s="1"/>
  <c r="V24" i="59"/>
  <c r="N24" i="59"/>
  <c r="L24" i="59"/>
  <c r="F24" i="59"/>
  <c r="B24" i="59"/>
  <c r="X23" i="59"/>
  <c r="Z23" i="59" s="1"/>
  <c r="V23" i="59"/>
  <c r="L23" i="59"/>
  <c r="N23" i="59" s="1"/>
  <c r="F23" i="59"/>
  <c r="B23" i="59"/>
  <c r="X22" i="59"/>
  <c r="Z22" i="59" s="1"/>
  <c r="V22" i="59"/>
  <c r="N22" i="59"/>
  <c r="L22" i="59"/>
  <c r="F22" i="59"/>
  <c r="B22" i="59"/>
  <c r="X21" i="59"/>
  <c r="Z21" i="59" s="1"/>
  <c r="N21" i="59"/>
  <c r="L21" i="59"/>
  <c r="F21" i="59"/>
  <c r="B21" i="59"/>
  <c r="X20" i="59"/>
  <c r="Z20" i="59" s="1"/>
  <c r="V20" i="59"/>
  <c r="N20" i="59"/>
  <c r="L20" i="59"/>
  <c r="F20" i="59"/>
  <c r="B20" i="59"/>
  <c r="X19" i="59"/>
  <c r="Z19" i="59" s="1"/>
  <c r="V19" i="59"/>
  <c r="T19" i="59"/>
  <c r="P19" i="59"/>
  <c r="L19" i="59"/>
  <c r="H19" i="59"/>
  <c r="N19" i="59" s="1"/>
  <c r="F19" i="59"/>
  <c r="D19" i="59"/>
  <c r="B19" i="59"/>
  <c r="T18" i="59"/>
  <c r="R18" i="59"/>
  <c r="P18" i="59"/>
  <c r="H18" i="59"/>
  <c r="F18" i="59"/>
  <c r="D18" i="59"/>
  <c r="F16" i="59"/>
  <c r="Z14" i="59"/>
  <c r="T14" i="59"/>
  <c r="X14" i="59" s="1"/>
  <c r="P14" i="59"/>
  <c r="N14" i="59"/>
  <c r="H14" i="59"/>
  <c r="F14" i="59"/>
  <c r="D14" i="59"/>
  <c r="D16" i="59" s="1"/>
  <c r="Z12" i="59"/>
  <c r="T12" i="59"/>
  <c r="V69" i="59" s="1"/>
  <c r="P12" i="59"/>
  <c r="N12" i="59"/>
  <c r="H12" i="59"/>
  <c r="D12" i="59"/>
  <c r="F76" i="59" s="1"/>
  <c r="D6" i="59"/>
  <c r="D4" i="59"/>
  <c r="J80" i="58"/>
  <c r="Z78" i="58"/>
  <c r="X78" i="58"/>
  <c r="N78" i="58"/>
  <c r="L78" i="58"/>
  <c r="F76" i="58"/>
  <c r="T74" i="58"/>
  <c r="Z74" i="58" s="1"/>
  <c r="P74" i="58"/>
  <c r="X74" i="58" s="1"/>
  <c r="N74" i="58"/>
  <c r="H74" i="58"/>
  <c r="L74" i="58" s="1"/>
  <c r="D74" i="58"/>
  <c r="Z72" i="58"/>
  <c r="X72" i="58"/>
  <c r="N72" i="58"/>
  <c r="L72" i="58"/>
  <c r="B72" i="58"/>
  <c r="Z71" i="58"/>
  <c r="X71" i="58"/>
  <c r="T71" i="58"/>
  <c r="P71" i="58"/>
  <c r="H71" i="58"/>
  <c r="L71" i="58" s="1"/>
  <c r="D71" i="58"/>
  <c r="B71" i="58"/>
  <c r="Z70" i="58"/>
  <c r="X70" i="58"/>
  <c r="L70" i="58"/>
  <c r="N70" i="58" s="1"/>
  <c r="B70" i="58"/>
  <c r="T69" i="58"/>
  <c r="P69" i="58"/>
  <c r="H69" i="58"/>
  <c r="D69" i="58"/>
  <c r="L69" i="58" s="1"/>
  <c r="B69" i="58"/>
  <c r="X68" i="58"/>
  <c r="Z68" i="58" s="1"/>
  <c r="N68" i="58"/>
  <c r="L68" i="58"/>
  <c r="B68" i="58"/>
  <c r="T67" i="58"/>
  <c r="P67" i="58"/>
  <c r="X67" i="58" s="1"/>
  <c r="Z67" i="58" s="1"/>
  <c r="L67" i="58"/>
  <c r="N67" i="58" s="1"/>
  <c r="H67" i="58"/>
  <c r="D67" i="58"/>
  <c r="B67" i="58"/>
  <c r="Z66" i="58"/>
  <c r="X66" i="58"/>
  <c r="N66" i="58"/>
  <c r="L66" i="58"/>
  <c r="B66" i="58"/>
  <c r="Z65" i="58"/>
  <c r="X65" i="58"/>
  <c r="N65" i="58"/>
  <c r="L65" i="58"/>
  <c r="B65" i="58"/>
  <c r="Z64" i="58"/>
  <c r="X64" i="58"/>
  <c r="R64" i="58"/>
  <c r="L64" i="58"/>
  <c r="N64" i="58" s="1"/>
  <c r="B64" i="58"/>
  <c r="X63" i="58"/>
  <c r="Z63" i="58" s="1"/>
  <c r="T63" i="58"/>
  <c r="P63" i="58"/>
  <c r="H63" i="58"/>
  <c r="L63" i="58" s="1"/>
  <c r="D63" i="58"/>
  <c r="B63" i="58"/>
  <c r="Z62" i="58"/>
  <c r="X62" i="58"/>
  <c r="L62" i="58"/>
  <c r="N62" i="58" s="1"/>
  <c r="B62" i="58"/>
  <c r="T61" i="58"/>
  <c r="P61" i="58"/>
  <c r="X61" i="58" s="1"/>
  <c r="H61" i="58"/>
  <c r="F61" i="58"/>
  <c r="D61" i="58"/>
  <c r="L61" i="58" s="1"/>
  <c r="B61" i="58"/>
  <c r="Z60" i="58"/>
  <c r="X60" i="58"/>
  <c r="N60" i="58"/>
  <c r="L60" i="58"/>
  <c r="B60" i="58"/>
  <c r="X59" i="58"/>
  <c r="Z59" i="58" s="1"/>
  <c r="L59" i="58"/>
  <c r="N59" i="58" s="1"/>
  <c r="B59" i="58"/>
  <c r="T58" i="58"/>
  <c r="P58" i="58"/>
  <c r="L58" i="58"/>
  <c r="H58" i="58"/>
  <c r="N58" i="58" s="1"/>
  <c r="D58" i="58"/>
  <c r="B58" i="58"/>
  <c r="Z57" i="58"/>
  <c r="X57" i="58"/>
  <c r="N57" i="58"/>
  <c r="L57" i="58"/>
  <c r="B57" i="58"/>
  <c r="Z56" i="58"/>
  <c r="X56" i="58"/>
  <c r="L56" i="58"/>
  <c r="N56" i="58" s="1"/>
  <c r="B56" i="58"/>
  <c r="Z55" i="58"/>
  <c r="X55" i="58"/>
  <c r="N55" i="58"/>
  <c r="L55" i="58"/>
  <c r="B55" i="58"/>
  <c r="T54" i="58"/>
  <c r="P54" i="58"/>
  <c r="H54" i="58"/>
  <c r="D54" i="58"/>
  <c r="B54" i="58"/>
  <c r="Z53" i="58"/>
  <c r="X53" i="58"/>
  <c r="L53" i="58"/>
  <c r="N53" i="58" s="1"/>
  <c r="B53" i="58"/>
  <c r="X52" i="58"/>
  <c r="Z52" i="58" s="1"/>
  <c r="N52" i="58"/>
  <c r="L52" i="58"/>
  <c r="B52" i="58"/>
  <c r="T51" i="58"/>
  <c r="P51" i="58"/>
  <c r="X51" i="58" s="1"/>
  <c r="J51" i="58"/>
  <c r="H51" i="58"/>
  <c r="D51" i="58"/>
  <c r="B51" i="58"/>
  <c r="X50" i="58"/>
  <c r="Z50" i="58" s="1"/>
  <c r="N50" i="58"/>
  <c r="L50" i="58"/>
  <c r="B50" i="58"/>
  <c r="X49" i="58"/>
  <c r="Z49" i="58" s="1"/>
  <c r="T49" i="58"/>
  <c r="R49" i="58"/>
  <c r="P49" i="58"/>
  <c r="H49" i="58"/>
  <c r="D49" i="58"/>
  <c r="L49" i="58" s="1"/>
  <c r="N49" i="58" s="1"/>
  <c r="B49" i="58"/>
  <c r="Z48" i="58"/>
  <c r="X48" i="58"/>
  <c r="L48" i="58"/>
  <c r="N48" i="58" s="1"/>
  <c r="J48" i="58"/>
  <c r="B48" i="58"/>
  <c r="T47" i="58"/>
  <c r="X47" i="58" s="1"/>
  <c r="P47" i="58"/>
  <c r="H47" i="58"/>
  <c r="D47" i="58"/>
  <c r="L47" i="58" s="1"/>
  <c r="N47" i="58" s="1"/>
  <c r="B47" i="58"/>
  <c r="X46" i="58"/>
  <c r="Z46" i="58" s="1"/>
  <c r="L46" i="58"/>
  <c r="N46" i="58" s="1"/>
  <c r="B46" i="58"/>
  <c r="T45" i="58"/>
  <c r="P45" i="58"/>
  <c r="H45" i="58"/>
  <c r="D45" i="58"/>
  <c r="L45" i="58" s="1"/>
  <c r="B45" i="58"/>
  <c r="Z44" i="58"/>
  <c r="X44" i="58"/>
  <c r="N44" i="58"/>
  <c r="L44" i="58"/>
  <c r="B44" i="58"/>
  <c r="T43" i="58"/>
  <c r="P43" i="58"/>
  <c r="N43" i="58"/>
  <c r="L43" i="58"/>
  <c r="H43" i="58"/>
  <c r="D43" i="58"/>
  <c r="B43" i="58"/>
  <c r="X42" i="58"/>
  <c r="Z42" i="58" s="1"/>
  <c r="R42" i="58"/>
  <c r="L42" i="58"/>
  <c r="N42" i="58" s="1"/>
  <c r="B42" i="58"/>
  <c r="T41" i="58"/>
  <c r="Z41" i="58" s="1"/>
  <c r="P41" i="58"/>
  <c r="X41" i="58" s="1"/>
  <c r="H41" i="58"/>
  <c r="D41" i="58"/>
  <c r="L41" i="58" s="1"/>
  <c r="N41" i="58" s="1"/>
  <c r="B41" i="58"/>
  <c r="Z40" i="58"/>
  <c r="X40" i="58"/>
  <c r="N40" i="58"/>
  <c r="L40" i="58"/>
  <c r="B40" i="58"/>
  <c r="Z39" i="58"/>
  <c r="X39" i="58"/>
  <c r="N39" i="58"/>
  <c r="L39" i="58"/>
  <c r="F39" i="58"/>
  <c r="B39" i="58"/>
  <c r="Z38" i="58"/>
  <c r="X38" i="58"/>
  <c r="N38" i="58"/>
  <c r="L38" i="58"/>
  <c r="B38" i="58"/>
  <c r="Z37" i="58"/>
  <c r="X37" i="58"/>
  <c r="N37" i="58"/>
  <c r="L37" i="58"/>
  <c r="B37" i="58"/>
  <c r="Z36" i="58"/>
  <c r="X36" i="58"/>
  <c r="N36" i="58"/>
  <c r="L36" i="58"/>
  <c r="B36" i="58"/>
  <c r="Z35" i="58"/>
  <c r="X35" i="58"/>
  <c r="L35" i="58"/>
  <c r="N35" i="58" s="1"/>
  <c r="F35" i="58"/>
  <c r="B35" i="58"/>
  <c r="X34" i="58"/>
  <c r="Z34" i="58" s="1"/>
  <c r="L34" i="58"/>
  <c r="N34" i="58" s="1"/>
  <c r="B34" i="58"/>
  <c r="Z33" i="58"/>
  <c r="X33" i="58"/>
  <c r="N33" i="58"/>
  <c r="L33" i="58"/>
  <c r="B33" i="58"/>
  <c r="Z32" i="58"/>
  <c r="X32" i="58"/>
  <c r="N32" i="58"/>
  <c r="L32" i="58"/>
  <c r="B32" i="58"/>
  <c r="Z31" i="58"/>
  <c r="X31" i="58"/>
  <c r="L31" i="58"/>
  <c r="N31" i="58" s="1"/>
  <c r="F31" i="58"/>
  <c r="B31" i="58"/>
  <c r="T30" i="58"/>
  <c r="Z30" i="58" s="1"/>
  <c r="P30" i="58"/>
  <c r="X30" i="58" s="1"/>
  <c r="H30" i="58"/>
  <c r="N30" i="58" s="1"/>
  <c r="F30" i="58"/>
  <c r="D30" i="58"/>
  <c r="L30" i="58" s="1"/>
  <c r="B30" i="58"/>
  <c r="X29" i="58"/>
  <c r="Z29" i="58" s="1"/>
  <c r="N29" i="58"/>
  <c r="L29" i="58"/>
  <c r="B29" i="58"/>
  <c r="X28" i="58"/>
  <c r="Z28" i="58" s="1"/>
  <c r="N28" i="58"/>
  <c r="L28" i="58"/>
  <c r="B28" i="58"/>
  <c r="X27" i="58"/>
  <c r="Z27" i="58" s="1"/>
  <c r="N27" i="58"/>
  <c r="L27" i="58"/>
  <c r="B27" i="58"/>
  <c r="Z26" i="58"/>
  <c r="X26" i="58"/>
  <c r="N26" i="58"/>
  <c r="L26" i="58"/>
  <c r="J26" i="58"/>
  <c r="F26" i="58"/>
  <c r="B26" i="58"/>
  <c r="Z25" i="58"/>
  <c r="X25" i="58"/>
  <c r="N25" i="58"/>
  <c r="L25" i="58"/>
  <c r="B25" i="58"/>
  <c r="X24" i="58"/>
  <c r="Z24" i="58" s="1"/>
  <c r="N24" i="58"/>
  <c r="L24" i="58"/>
  <c r="B24" i="58"/>
  <c r="X23" i="58"/>
  <c r="Z23" i="58" s="1"/>
  <c r="R23" i="58"/>
  <c r="N23" i="58"/>
  <c r="L23" i="58"/>
  <c r="B23" i="58"/>
  <c r="X22" i="58"/>
  <c r="Z22" i="58" s="1"/>
  <c r="L22" i="58"/>
  <c r="N22" i="58" s="1"/>
  <c r="J22" i="58"/>
  <c r="F22" i="58"/>
  <c r="B22" i="58"/>
  <c r="X21" i="58"/>
  <c r="Z21" i="58" s="1"/>
  <c r="N21" i="58"/>
  <c r="L21" i="58"/>
  <c r="B21" i="58"/>
  <c r="Z20" i="58"/>
  <c r="X20" i="58"/>
  <c r="N20" i="58"/>
  <c r="L20" i="58"/>
  <c r="B20" i="58"/>
  <c r="T19" i="58"/>
  <c r="R19" i="58"/>
  <c r="P19" i="58"/>
  <c r="L19" i="58"/>
  <c r="H19" i="58"/>
  <c r="N19" i="58" s="1"/>
  <c r="D19" i="58"/>
  <c r="B19" i="58"/>
  <c r="T18" i="58"/>
  <c r="P18" i="58"/>
  <c r="H18" i="58"/>
  <c r="D18" i="58"/>
  <c r="V16" i="58"/>
  <c r="T16" i="58"/>
  <c r="T14" i="58"/>
  <c r="P14" i="58"/>
  <c r="H14" i="58"/>
  <c r="N14" i="58" s="1"/>
  <c r="D14" i="58"/>
  <c r="T12" i="58"/>
  <c r="V33" i="58" s="1"/>
  <c r="P12" i="58"/>
  <c r="H12" i="58"/>
  <c r="J37" i="58" s="1"/>
  <c r="D12" i="58"/>
  <c r="F68" i="58" s="1"/>
  <c r="D6" i="58"/>
  <c r="D4" i="58"/>
  <c r="R80" i="57"/>
  <c r="R77" i="57"/>
  <c r="Z75" i="57"/>
  <c r="X75" i="57"/>
  <c r="N75" i="57"/>
  <c r="L75" i="57"/>
  <c r="J73" i="57"/>
  <c r="Z71" i="57"/>
  <c r="X71" i="57"/>
  <c r="P71" i="57"/>
  <c r="N71" i="57"/>
  <c r="D71" i="57"/>
  <c r="L71" i="57" s="1"/>
  <c r="B71" i="57"/>
  <c r="Z70" i="57"/>
  <c r="P70" i="57"/>
  <c r="X70" i="57" s="1"/>
  <c r="N70" i="57"/>
  <c r="D70" i="57"/>
  <c r="L70" i="57" s="1"/>
  <c r="B70" i="57"/>
  <c r="Z69" i="57"/>
  <c r="X69" i="57"/>
  <c r="P69" i="57"/>
  <c r="N69" i="57"/>
  <c r="D69" i="57"/>
  <c r="L69" i="57" s="1"/>
  <c r="B69" i="57"/>
  <c r="Z68" i="57"/>
  <c r="T68" i="57"/>
  <c r="N68" i="57"/>
  <c r="H68" i="57"/>
  <c r="Z66" i="57"/>
  <c r="X66" i="57"/>
  <c r="N66" i="57"/>
  <c r="L66" i="57"/>
  <c r="B66" i="57"/>
  <c r="V65" i="57"/>
  <c r="T65" i="57"/>
  <c r="P65" i="57"/>
  <c r="H65" i="57"/>
  <c r="N65" i="57" s="1"/>
  <c r="D65" i="57"/>
  <c r="B65" i="57"/>
  <c r="X64" i="57"/>
  <c r="Z64" i="57" s="1"/>
  <c r="V64" i="57"/>
  <c r="L64" i="57"/>
  <c r="N64" i="57" s="1"/>
  <c r="B64" i="57"/>
  <c r="T63" i="57"/>
  <c r="Z63" i="57" s="1"/>
  <c r="P63" i="57"/>
  <c r="X63" i="57" s="1"/>
  <c r="H63" i="57"/>
  <c r="N63" i="57" s="1"/>
  <c r="D63" i="57"/>
  <c r="L63" i="57" s="1"/>
  <c r="B63" i="57"/>
  <c r="X62" i="57"/>
  <c r="Z62" i="57" s="1"/>
  <c r="R62" i="57"/>
  <c r="N62" i="57"/>
  <c r="L62" i="57"/>
  <c r="B62" i="57"/>
  <c r="T61" i="57"/>
  <c r="P61" i="57"/>
  <c r="X61" i="57" s="1"/>
  <c r="L61" i="57"/>
  <c r="N61" i="57" s="1"/>
  <c r="H61" i="57"/>
  <c r="D61" i="57"/>
  <c r="B61" i="57"/>
  <c r="Z60" i="57"/>
  <c r="X60" i="57"/>
  <c r="L60" i="57"/>
  <c r="N60" i="57" s="1"/>
  <c r="J60" i="57"/>
  <c r="B60" i="57"/>
  <c r="Z59" i="57"/>
  <c r="X59" i="57"/>
  <c r="N59" i="57"/>
  <c r="L59" i="57"/>
  <c r="B59" i="57"/>
  <c r="Z58" i="57"/>
  <c r="X58" i="57"/>
  <c r="N58" i="57"/>
  <c r="L58" i="57"/>
  <c r="B58" i="57"/>
  <c r="V57" i="57"/>
  <c r="T57" i="57"/>
  <c r="P57" i="57"/>
  <c r="H57" i="57"/>
  <c r="D57" i="57"/>
  <c r="B57" i="57"/>
  <c r="X56" i="57"/>
  <c r="Z56" i="57" s="1"/>
  <c r="V56" i="57"/>
  <c r="L56" i="57"/>
  <c r="N56" i="57" s="1"/>
  <c r="B56" i="57"/>
  <c r="T55" i="57"/>
  <c r="R55" i="57"/>
  <c r="P55" i="57"/>
  <c r="X55" i="57" s="1"/>
  <c r="H55" i="57"/>
  <c r="D55" i="57"/>
  <c r="L55" i="57" s="1"/>
  <c r="B55" i="57"/>
  <c r="Z54" i="57"/>
  <c r="X54" i="57"/>
  <c r="R54" i="57"/>
  <c r="N54" i="57"/>
  <c r="L54" i="57"/>
  <c r="B54" i="57"/>
  <c r="X53" i="57"/>
  <c r="Z53" i="57" s="1"/>
  <c r="L53" i="57"/>
  <c r="N53" i="57" s="1"/>
  <c r="J53" i="57"/>
  <c r="B53" i="57"/>
  <c r="X52" i="57"/>
  <c r="Z52" i="57" s="1"/>
  <c r="T52" i="57"/>
  <c r="P52" i="57"/>
  <c r="J52" i="57"/>
  <c r="H52" i="57"/>
  <c r="D52" i="57"/>
  <c r="B52" i="57"/>
  <c r="X51" i="57"/>
  <c r="Z51" i="57" s="1"/>
  <c r="L51" i="57"/>
  <c r="N51" i="57" s="1"/>
  <c r="B51" i="57"/>
  <c r="Z50" i="57"/>
  <c r="T50" i="57"/>
  <c r="P50" i="57"/>
  <c r="X50" i="57" s="1"/>
  <c r="H50" i="57"/>
  <c r="D50" i="57"/>
  <c r="L50" i="57" s="1"/>
  <c r="N50" i="57" s="1"/>
  <c r="B50" i="57"/>
  <c r="X49" i="57"/>
  <c r="Z49" i="57" s="1"/>
  <c r="L49" i="57"/>
  <c r="N49" i="57" s="1"/>
  <c r="B49" i="57"/>
  <c r="X48" i="57"/>
  <c r="Z48" i="57" s="1"/>
  <c r="V48" i="57"/>
  <c r="T48" i="57"/>
  <c r="P48" i="57"/>
  <c r="J48" i="57"/>
  <c r="H48" i="57"/>
  <c r="D48" i="57"/>
  <c r="L48" i="57" s="1"/>
  <c r="N48" i="57" s="1"/>
  <c r="B48" i="57"/>
  <c r="Z47" i="57"/>
  <c r="X47" i="57"/>
  <c r="L47" i="57"/>
  <c r="N47" i="57" s="1"/>
  <c r="B47" i="57"/>
  <c r="Z46" i="57"/>
  <c r="X46" i="57"/>
  <c r="R46" i="57"/>
  <c r="N46" i="57"/>
  <c r="L46" i="57"/>
  <c r="B46" i="57"/>
  <c r="T45" i="57"/>
  <c r="P45" i="57"/>
  <c r="X45" i="57" s="1"/>
  <c r="N45" i="57"/>
  <c r="L45" i="57"/>
  <c r="H45" i="57"/>
  <c r="D45" i="57"/>
  <c r="B45" i="57"/>
  <c r="Z44" i="57"/>
  <c r="X44" i="57"/>
  <c r="L44" i="57"/>
  <c r="N44" i="57" s="1"/>
  <c r="J44" i="57"/>
  <c r="B44" i="57"/>
  <c r="T43" i="57"/>
  <c r="P43" i="57"/>
  <c r="J43" i="57"/>
  <c r="H43" i="57"/>
  <c r="D43" i="57"/>
  <c r="B43" i="57"/>
  <c r="Z42" i="57"/>
  <c r="X42" i="57"/>
  <c r="L42" i="57"/>
  <c r="N42" i="57" s="1"/>
  <c r="J42" i="57"/>
  <c r="F42" i="57"/>
  <c r="B42" i="57"/>
  <c r="T41" i="57"/>
  <c r="P41" i="57"/>
  <c r="X41" i="57" s="1"/>
  <c r="H41" i="57"/>
  <c r="D41" i="57"/>
  <c r="L41" i="57" s="1"/>
  <c r="B41" i="57"/>
  <c r="Z40" i="57"/>
  <c r="X40" i="57"/>
  <c r="N40" i="57"/>
  <c r="L40" i="57"/>
  <c r="B40" i="57"/>
  <c r="Z39" i="57"/>
  <c r="X39" i="57"/>
  <c r="N39" i="57"/>
  <c r="L39" i="57"/>
  <c r="B39" i="57"/>
  <c r="X38" i="57"/>
  <c r="Z38" i="57" s="1"/>
  <c r="R38" i="57"/>
  <c r="N38" i="57"/>
  <c r="L38" i="57"/>
  <c r="B38" i="57"/>
  <c r="Z37" i="57"/>
  <c r="X37" i="57"/>
  <c r="N37" i="57"/>
  <c r="L37" i="57"/>
  <c r="J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R34" i="57"/>
  <c r="N34" i="57"/>
  <c r="L34" i="57"/>
  <c r="B34" i="57"/>
  <c r="Z33" i="57"/>
  <c r="X33" i="57"/>
  <c r="N33" i="57"/>
  <c r="L33" i="57"/>
  <c r="J33" i="57"/>
  <c r="F33" i="57"/>
  <c r="B33" i="57"/>
  <c r="X32" i="57"/>
  <c r="Z32" i="57" s="1"/>
  <c r="N32" i="57"/>
  <c r="L32" i="57"/>
  <c r="B32" i="57"/>
  <c r="X31" i="57"/>
  <c r="Z31" i="57" s="1"/>
  <c r="L31" i="57"/>
  <c r="N31" i="57" s="1"/>
  <c r="B31" i="57"/>
  <c r="T30" i="57"/>
  <c r="R30" i="57"/>
  <c r="P30" i="57"/>
  <c r="L30" i="57"/>
  <c r="N30" i="57" s="1"/>
  <c r="J30" i="57"/>
  <c r="H30" i="57"/>
  <c r="D30" i="57"/>
  <c r="B30" i="57"/>
  <c r="X29" i="57"/>
  <c r="Z29" i="57" s="1"/>
  <c r="V29" i="57"/>
  <c r="R29" i="57"/>
  <c r="L29" i="57"/>
  <c r="N29" i="57" s="1"/>
  <c r="B29" i="57"/>
  <c r="Z28" i="57"/>
  <c r="X28" i="57"/>
  <c r="L28" i="57"/>
  <c r="N28" i="57" s="1"/>
  <c r="J28" i="57"/>
  <c r="B28" i="57"/>
  <c r="X27" i="57"/>
  <c r="Z27" i="57" s="1"/>
  <c r="L27" i="57"/>
  <c r="N27" i="57" s="1"/>
  <c r="B27" i="57"/>
  <c r="Z26" i="57"/>
  <c r="X26" i="57"/>
  <c r="N26" i="57"/>
  <c r="L26" i="57"/>
  <c r="J26" i="57"/>
  <c r="B26" i="57"/>
  <c r="X25" i="57"/>
  <c r="Z25" i="57" s="1"/>
  <c r="V25" i="57"/>
  <c r="R25" i="57"/>
  <c r="L25" i="57"/>
  <c r="N25" i="57" s="1"/>
  <c r="B25" i="57"/>
  <c r="Z24" i="57"/>
  <c r="X24" i="57"/>
  <c r="L24" i="57"/>
  <c r="N24" i="57" s="1"/>
  <c r="J24" i="57"/>
  <c r="B24" i="57"/>
  <c r="X23" i="57"/>
  <c r="Z23" i="57" s="1"/>
  <c r="L23" i="57"/>
  <c r="N23" i="57" s="1"/>
  <c r="B23" i="57"/>
  <c r="Z22" i="57"/>
  <c r="X22" i="57"/>
  <c r="N22" i="57"/>
  <c r="L22" i="57"/>
  <c r="J22" i="57"/>
  <c r="B22" i="57"/>
  <c r="X21" i="57"/>
  <c r="Z21" i="57" s="1"/>
  <c r="V21" i="57"/>
  <c r="L21" i="57"/>
  <c r="N21" i="57" s="1"/>
  <c r="B21" i="57"/>
  <c r="T20" i="57"/>
  <c r="P20" i="57"/>
  <c r="X20" i="57" s="1"/>
  <c r="Z20" i="57" s="1"/>
  <c r="N20" i="57"/>
  <c r="H20" i="57"/>
  <c r="D20" i="57"/>
  <c r="L20" i="57" s="1"/>
  <c r="B20" i="57"/>
  <c r="T19" i="57"/>
  <c r="R19" i="57"/>
  <c r="P19" i="57"/>
  <c r="H19" i="57"/>
  <c r="D19" i="57"/>
  <c r="L19" i="57" s="1"/>
  <c r="R17" i="57"/>
  <c r="P17" i="57"/>
  <c r="J17" i="57"/>
  <c r="T15" i="57"/>
  <c r="Z15" i="57" s="1"/>
  <c r="R15" i="57"/>
  <c r="P15" i="57"/>
  <c r="X15" i="57" s="1"/>
  <c r="J15" i="57"/>
  <c r="H15" i="57"/>
  <c r="H17" i="57" s="1"/>
  <c r="N17" i="57" s="1"/>
  <c r="D15" i="57"/>
  <c r="L15" i="57" s="1"/>
  <c r="Z13" i="57"/>
  <c r="P13" i="57"/>
  <c r="P12" i="57" s="1"/>
  <c r="N13" i="57"/>
  <c r="L13" i="57"/>
  <c r="D13" i="57"/>
  <c r="D12" i="57" s="1"/>
  <c r="F52" i="57" s="1"/>
  <c r="B13" i="57"/>
  <c r="T12" i="57"/>
  <c r="V68" i="57" s="1"/>
  <c r="N12" i="57"/>
  <c r="H12" i="57"/>
  <c r="J62" i="57" s="1"/>
  <c r="D6" i="57"/>
  <c r="D4" i="57"/>
  <c r="Z80" i="56"/>
  <c r="X80" i="56"/>
  <c r="N80" i="56"/>
  <c r="L80" i="56"/>
  <c r="R78" i="56"/>
  <c r="T76" i="56"/>
  <c r="R76" i="56"/>
  <c r="P76" i="56"/>
  <c r="N76" i="56"/>
  <c r="L76" i="56"/>
  <c r="H76" i="56"/>
  <c r="D76" i="56"/>
  <c r="X74" i="56"/>
  <c r="Z74" i="56" s="1"/>
  <c r="R74" i="56"/>
  <c r="N74" i="56"/>
  <c r="L74" i="56"/>
  <c r="B74" i="56"/>
  <c r="T73" i="56"/>
  <c r="P73" i="56"/>
  <c r="X73" i="56" s="1"/>
  <c r="N73" i="56"/>
  <c r="L73" i="56"/>
  <c r="H73" i="56"/>
  <c r="D73" i="56"/>
  <c r="B73" i="56"/>
  <c r="Z72" i="56"/>
  <c r="X72" i="56"/>
  <c r="L72" i="56"/>
  <c r="N72" i="56" s="1"/>
  <c r="J72" i="56"/>
  <c r="B72" i="56"/>
  <c r="X71" i="56"/>
  <c r="T71" i="56"/>
  <c r="Z71" i="56" s="1"/>
  <c r="P71" i="56"/>
  <c r="J71" i="56"/>
  <c r="H71" i="56"/>
  <c r="D71" i="56"/>
  <c r="B71" i="56"/>
  <c r="Z70" i="56"/>
  <c r="X70" i="56"/>
  <c r="N70" i="56"/>
  <c r="L70" i="56"/>
  <c r="B70" i="56"/>
  <c r="T69" i="56"/>
  <c r="P69" i="56"/>
  <c r="X69" i="56" s="1"/>
  <c r="H69" i="56"/>
  <c r="N69" i="56" s="1"/>
  <c r="D69" i="56"/>
  <c r="L69" i="56" s="1"/>
  <c r="B69" i="56"/>
  <c r="Z68" i="56"/>
  <c r="X68" i="56"/>
  <c r="N68" i="56"/>
  <c r="L68" i="56"/>
  <c r="B68" i="56"/>
  <c r="X67" i="56"/>
  <c r="Z67" i="56" s="1"/>
  <c r="N67" i="56"/>
  <c r="L67" i="56"/>
  <c r="B67" i="56"/>
  <c r="Z66" i="56"/>
  <c r="X66" i="56"/>
  <c r="R66" i="56"/>
  <c r="N66" i="56"/>
  <c r="L66" i="56"/>
  <c r="B66" i="56"/>
  <c r="T65" i="56"/>
  <c r="Z65" i="56" s="1"/>
  <c r="P65" i="56"/>
  <c r="X65" i="56" s="1"/>
  <c r="L65" i="56"/>
  <c r="N65" i="56" s="1"/>
  <c r="H65" i="56"/>
  <c r="D65" i="56"/>
  <c r="B65" i="56"/>
  <c r="Z64" i="56"/>
  <c r="X64" i="56"/>
  <c r="N64" i="56"/>
  <c r="L64" i="56"/>
  <c r="J64" i="56"/>
  <c r="B64" i="56"/>
  <c r="X63" i="56"/>
  <c r="T63" i="56"/>
  <c r="Z63" i="56" s="1"/>
  <c r="P63" i="56"/>
  <c r="J63" i="56"/>
  <c r="H63" i="56"/>
  <c r="D63" i="56"/>
  <c r="B63" i="56"/>
  <c r="Z62" i="56"/>
  <c r="X62" i="56"/>
  <c r="N62" i="56"/>
  <c r="L62" i="56"/>
  <c r="B62" i="56"/>
  <c r="T61" i="56"/>
  <c r="P61" i="56"/>
  <c r="X61" i="56" s="1"/>
  <c r="H61" i="56"/>
  <c r="N61" i="56" s="1"/>
  <c r="D61" i="56"/>
  <c r="L61" i="56" s="1"/>
  <c r="B61" i="56"/>
  <c r="Z60" i="56"/>
  <c r="X60" i="56"/>
  <c r="N60" i="56"/>
  <c r="L60" i="56"/>
  <c r="B60" i="56"/>
  <c r="X59" i="56"/>
  <c r="Z59" i="56" s="1"/>
  <c r="L59" i="56"/>
  <c r="N59" i="56" s="1"/>
  <c r="B59" i="56"/>
  <c r="Z58" i="56"/>
  <c r="X58" i="56"/>
  <c r="R58" i="56"/>
  <c r="N58" i="56"/>
  <c r="L58" i="56"/>
  <c r="B58" i="56"/>
  <c r="T57" i="56"/>
  <c r="P57" i="56"/>
  <c r="X57" i="56" s="1"/>
  <c r="L57" i="56"/>
  <c r="N57" i="56" s="1"/>
  <c r="H57" i="56"/>
  <c r="D57" i="56"/>
  <c r="B57" i="56"/>
  <c r="Z56" i="56"/>
  <c r="X56" i="56"/>
  <c r="L56" i="56"/>
  <c r="N56" i="56" s="1"/>
  <c r="J56" i="56"/>
  <c r="B56" i="56"/>
  <c r="X55" i="56"/>
  <c r="T55" i="56"/>
  <c r="Z55" i="56" s="1"/>
  <c r="P55" i="56"/>
  <c r="J55" i="56"/>
  <c r="H55" i="56"/>
  <c r="D55" i="56"/>
  <c r="B55" i="56"/>
  <c r="Z54" i="56"/>
  <c r="X54" i="56"/>
  <c r="N54" i="56"/>
  <c r="L54" i="56"/>
  <c r="J54" i="56"/>
  <c r="B54" i="56"/>
  <c r="T53" i="56"/>
  <c r="P53" i="56"/>
  <c r="X53" i="56" s="1"/>
  <c r="H53" i="56"/>
  <c r="N53" i="56" s="1"/>
  <c r="F53" i="56"/>
  <c r="D53" i="56"/>
  <c r="L53" i="56" s="1"/>
  <c r="B53" i="56"/>
  <c r="Z52" i="56"/>
  <c r="X52" i="56"/>
  <c r="N52" i="56"/>
  <c r="L52" i="56"/>
  <c r="B52" i="56"/>
  <c r="X51" i="56"/>
  <c r="Z51" i="56" s="1"/>
  <c r="T51" i="56"/>
  <c r="P51" i="56"/>
  <c r="H51" i="56"/>
  <c r="N51" i="56" s="1"/>
  <c r="D51" i="56"/>
  <c r="L51" i="56" s="1"/>
  <c r="B51" i="56"/>
  <c r="Z50" i="56"/>
  <c r="X50" i="56"/>
  <c r="N50" i="56"/>
  <c r="L50" i="56"/>
  <c r="B50" i="56"/>
  <c r="V49" i="56"/>
  <c r="T49" i="56"/>
  <c r="P49" i="56"/>
  <c r="L49" i="56"/>
  <c r="H49" i="56"/>
  <c r="N49" i="56" s="1"/>
  <c r="D49" i="56"/>
  <c r="B49" i="56"/>
  <c r="X48" i="56"/>
  <c r="Z48" i="56" s="1"/>
  <c r="V48" i="56"/>
  <c r="N48" i="56"/>
  <c r="L48" i="56"/>
  <c r="J48" i="56"/>
  <c r="B48" i="56"/>
  <c r="T47" i="56"/>
  <c r="R47" i="56"/>
  <c r="P47" i="56"/>
  <c r="X47" i="56" s="1"/>
  <c r="H47" i="56"/>
  <c r="N47" i="56" s="1"/>
  <c r="D47" i="56"/>
  <c r="L47" i="56" s="1"/>
  <c r="B47" i="56"/>
  <c r="Z46" i="56"/>
  <c r="X46" i="56"/>
  <c r="R46" i="56"/>
  <c r="N46" i="56"/>
  <c r="L46" i="56"/>
  <c r="B46" i="56"/>
  <c r="T45" i="56"/>
  <c r="P45" i="56"/>
  <c r="X45" i="56" s="1"/>
  <c r="N45" i="56"/>
  <c r="L45" i="56"/>
  <c r="H45" i="56"/>
  <c r="D45" i="56"/>
  <c r="B45" i="56"/>
  <c r="Z44" i="56"/>
  <c r="X44" i="56"/>
  <c r="L44" i="56"/>
  <c r="N44" i="56" s="1"/>
  <c r="J44" i="56"/>
  <c r="B44" i="56"/>
  <c r="X43" i="56"/>
  <c r="T43" i="56"/>
  <c r="Z43" i="56" s="1"/>
  <c r="P43" i="56"/>
  <c r="J43" i="56"/>
  <c r="H43" i="56"/>
  <c r="D43" i="56"/>
  <c r="B43" i="56"/>
  <c r="Z42" i="56"/>
  <c r="X42" i="56"/>
  <c r="N42" i="56"/>
  <c r="L42" i="56"/>
  <c r="J42" i="56"/>
  <c r="B42" i="56"/>
  <c r="T41" i="56"/>
  <c r="P41" i="56"/>
  <c r="X41" i="56" s="1"/>
  <c r="H41" i="56"/>
  <c r="D41" i="56"/>
  <c r="L41" i="56" s="1"/>
  <c r="B41" i="56"/>
  <c r="Z40" i="56"/>
  <c r="X40" i="56"/>
  <c r="N40" i="56"/>
  <c r="L40" i="56"/>
  <c r="B40" i="56"/>
  <c r="Z39" i="56"/>
  <c r="X39" i="56"/>
  <c r="N39" i="56"/>
  <c r="L39" i="56"/>
  <c r="B39" i="56"/>
  <c r="Z38" i="56"/>
  <c r="X38" i="56"/>
  <c r="R38" i="56"/>
  <c r="N38" i="56"/>
  <c r="L38" i="56"/>
  <c r="B38" i="56"/>
  <c r="X37" i="56"/>
  <c r="Z37" i="56" s="1"/>
  <c r="L37" i="56"/>
  <c r="N37" i="56" s="1"/>
  <c r="J37" i="56"/>
  <c r="F37" i="56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R34" i="56"/>
  <c r="N34" i="56"/>
  <c r="L34" i="56"/>
  <c r="B34" i="56"/>
  <c r="Z33" i="56"/>
  <c r="X33" i="56"/>
  <c r="N33" i="56"/>
  <c r="L33" i="56"/>
  <c r="J33" i="56"/>
  <c r="F33" i="56"/>
  <c r="B33" i="56"/>
  <c r="Z32" i="56"/>
  <c r="X32" i="56"/>
  <c r="N32" i="56"/>
  <c r="L32" i="56"/>
  <c r="B32" i="56"/>
  <c r="Z31" i="56"/>
  <c r="X31" i="56"/>
  <c r="L31" i="56"/>
  <c r="N31" i="56" s="1"/>
  <c r="B31" i="56"/>
  <c r="T30" i="56"/>
  <c r="R30" i="56"/>
  <c r="P30" i="56"/>
  <c r="X30" i="56" s="1"/>
  <c r="J30" i="56"/>
  <c r="H30" i="56"/>
  <c r="D30" i="56"/>
  <c r="L30" i="56" s="1"/>
  <c r="N30" i="56" s="1"/>
  <c r="B30" i="56"/>
  <c r="X29" i="56"/>
  <c r="Z29" i="56" s="1"/>
  <c r="V29" i="56"/>
  <c r="R29" i="56"/>
  <c r="L29" i="56"/>
  <c r="N29" i="56" s="1"/>
  <c r="B29" i="56"/>
  <c r="Z28" i="56"/>
  <c r="X28" i="56"/>
  <c r="L28" i="56"/>
  <c r="N28" i="56" s="1"/>
  <c r="J28" i="56"/>
  <c r="B28" i="56"/>
  <c r="X27" i="56"/>
  <c r="Z27" i="56" s="1"/>
  <c r="R27" i="56"/>
  <c r="N27" i="56"/>
  <c r="L27" i="56"/>
  <c r="B27" i="56"/>
  <c r="Z26" i="56"/>
  <c r="X26" i="56"/>
  <c r="N26" i="56"/>
  <c r="L26" i="56"/>
  <c r="J26" i="56"/>
  <c r="B26" i="56"/>
  <c r="X25" i="56"/>
  <c r="Z25" i="56" s="1"/>
  <c r="V25" i="56"/>
  <c r="R25" i="56"/>
  <c r="L25" i="56"/>
  <c r="N25" i="56" s="1"/>
  <c r="B25" i="56"/>
  <c r="Z24" i="56"/>
  <c r="X24" i="56"/>
  <c r="L24" i="56"/>
  <c r="N24" i="56" s="1"/>
  <c r="J24" i="56"/>
  <c r="B24" i="56"/>
  <c r="X23" i="56"/>
  <c r="Z23" i="56" s="1"/>
  <c r="R23" i="56"/>
  <c r="N23" i="56"/>
  <c r="L23" i="56"/>
  <c r="B23" i="56"/>
  <c r="Z22" i="56"/>
  <c r="X22" i="56"/>
  <c r="N22" i="56"/>
  <c r="L22" i="56"/>
  <c r="J22" i="56"/>
  <c r="B22" i="56"/>
  <c r="X21" i="56"/>
  <c r="Z21" i="56" s="1"/>
  <c r="V21" i="56"/>
  <c r="R21" i="56"/>
  <c r="L21" i="56"/>
  <c r="N21" i="56" s="1"/>
  <c r="B21" i="56"/>
  <c r="T20" i="56"/>
  <c r="R20" i="56"/>
  <c r="P20" i="56"/>
  <c r="X20" i="56" s="1"/>
  <c r="Z20" i="56" s="1"/>
  <c r="H20" i="56"/>
  <c r="D20" i="56"/>
  <c r="L20" i="56" s="1"/>
  <c r="N20" i="56" s="1"/>
  <c r="B20" i="56"/>
  <c r="T19" i="56"/>
  <c r="R19" i="56"/>
  <c r="P19" i="56"/>
  <c r="H19" i="56"/>
  <c r="D19" i="56"/>
  <c r="L19" i="56" s="1"/>
  <c r="R17" i="56"/>
  <c r="T15" i="56"/>
  <c r="Z15" i="56" s="1"/>
  <c r="R15" i="56"/>
  <c r="P15" i="56"/>
  <c r="X15" i="56" s="1"/>
  <c r="H15" i="56"/>
  <c r="H17" i="56" s="1"/>
  <c r="D15" i="56"/>
  <c r="L15" i="56" s="1"/>
  <c r="Z13" i="56"/>
  <c r="X13" i="56"/>
  <c r="P13" i="56"/>
  <c r="N13" i="56"/>
  <c r="L13" i="56"/>
  <c r="D13" i="56"/>
  <c r="D12" i="56" s="1"/>
  <c r="F54" i="56" s="1"/>
  <c r="B13" i="56"/>
  <c r="T12" i="56"/>
  <c r="V85" i="56" s="1"/>
  <c r="P12" i="56"/>
  <c r="R67" i="56" s="1"/>
  <c r="N12" i="56"/>
  <c r="H12" i="56"/>
  <c r="J74" i="56" s="1"/>
  <c r="D6" i="56"/>
  <c r="D4" i="56"/>
  <c r="F40" i="55"/>
  <c r="F37" i="55"/>
  <c r="Z35" i="55"/>
  <c r="X35" i="55"/>
  <c r="N35" i="55"/>
  <c r="L35" i="55"/>
  <c r="J35" i="55"/>
  <c r="V33" i="55"/>
  <c r="J33" i="55"/>
  <c r="F33" i="55"/>
  <c r="V31" i="55"/>
  <c r="T31" i="55"/>
  <c r="Z31" i="55" s="1"/>
  <c r="P31" i="55"/>
  <c r="J31" i="55"/>
  <c r="H31" i="55"/>
  <c r="N31" i="55" s="1"/>
  <c r="F31" i="55"/>
  <c r="D31" i="55"/>
  <c r="L31" i="55" s="1"/>
  <c r="Z29" i="55"/>
  <c r="X29" i="55"/>
  <c r="V29" i="55"/>
  <c r="N29" i="55"/>
  <c r="L29" i="55"/>
  <c r="B29" i="55"/>
  <c r="X28" i="55"/>
  <c r="Z28" i="55" s="1"/>
  <c r="N28" i="55"/>
  <c r="L28" i="55"/>
  <c r="J28" i="55"/>
  <c r="F28" i="55"/>
  <c r="B28" i="55"/>
  <c r="V27" i="55"/>
  <c r="T27" i="55"/>
  <c r="P27" i="55"/>
  <c r="X27" i="55" s="1"/>
  <c r="J27" i="55"/>
  <c r="H27" i="55"/>
  <c r="F27" i="55"/>
  <c r="D27" i="55"/>
  <c r="B27" i="55"/>
  <c r="Z26" i="55"/>
  <c r="X26" i="55"/>
  <c r="N26" i="55"/>
  <c r="L26" i="55"/>
  <c r="F26" i="55"/>
  <c r="B26" i="55"/>
  <c r="Z25" i="55"/>
  <c r="T25" i="55"/>
  <c r="P25" i="55"/>
  <c r="X25" i="55" s="1"/>
  <c r="N25" i="55"/>
  <c r="H25" i="55"/>
  <c r="F25" i="55"/>
  <c r="D25" i="55"/>
  <c r="L25" i="55" s="1"/>
  <c r="B25" i="55"/>
  <c r="Z24" i="55"/>
  <c r="X24" i="55"/>
  <c r="L24" i="55"/>
  <c r="N24" i="55" s="1"/>
  <c r="B24" i="55"/>
  <c r="X23" i="55"/>
  <c r="Z23" i="55" s="1"/>
  <c r="V23" i="55"/>
  <c r="T23" i="55"/>
  <c r="P23" i="55"/>
  <c r="J23" i="55"/>
  <c r="H23" i="55"/>
  <c r="L23" i="55" s="1"/>
  <c r="N23" i="55" s="1"/>
  <c r="D23" i="55"/>
  <c r="B23" i="55"/>
  <c r="X22" i="55"/>
  <c r="Z22" i="55" s="1"/>
  <c r="L22" i="55"/>
  <c r="N22" i="55" s="1"/>
  <c r="F22" i="55"/>
  <c r="B22" i="55"/>
  <c r="V21" i="55"/>
  <c r="T21" i="55"/>
  <c r="P21" i="55"/>
  <c r="J21" i="55"/>
  <c r="H21" i="55"/>
  <c r="F21" i="55"/>
  <c r="D21" i="55"/>
  <c r="L21" i="55" s="1"/>
  <c r="B21" i="55"/>
  <c r="X20" i="55"/>
  <c r="Z20" i="55" s="1"/>
  <c r="V20" i="55"/>
  <c r="N20" i="55"/>
  <c r="L20" i="55"/>
  <c r="F20" i="55"/>
  <c r="B20" i="55"/>
  <c r="V19" i="55"/>
  <c r="T19" i="55"/>
  <c r="P19" i="55"/>
  <c r="X19" i="55" s="1"/>
  <c r="Z19" i="55" s="1"/>
  <c r="N19" i="55"/>
  <c r="H19" i="55"/>
  <c r="F19" i="55"/>
  <c r="D19" i="55"/>
  <c r="L19" i="55" s="1"/>
  <c r="B19" i="55"/>
  <c r="T18" i="55"/>
  <c r="P18" i="55"/>
  <c r="H18" i="55"/>
  <c r="F18" i="55"/>
  <c r="D18" i="55"/>
  <c r="L18" i="55" s="1"/>
  <c r="P16" i="55"/>
  <c r="H16" i="55"/>
  <c r="F16" i="55"/>
  <c r="T14" i="55"/>
  <c r="Z14" i="55" s="1"/>
  <c r="R14" i="55"/>
  <c r="P14" i="55"/>
  <c r="X14" i="55" s="1"/>
  <c r="H14" i="55"/>
  <c r="N14" i="55" s="1"/>
  <c r="F14" i="55"/>
  <c r="D14" i="55"/>
  <c r="Z12" i="55"/>
  <c r="T12" i="55"/>
  <c r="V40" i="55" s="1"/>
  <c r="P12" i="55"/>
  <c r="R33" i="55" s="1"/>
  <c r="N12" i="55"/>
  <c r="L12" i="55"/>
  <c r="H12" i="55"/>
  <c r="J29" i="55" s="1"/>
  <c r="D12" i="55"/>
  <c r="F29" i="55" s="1"/>
  <c r="D6" i="55"/>
  <c r="D4" i="55"/>
  <c r="V31" i="54"/>
  <c r="V29" i="54"/>
  <c r="T29" i="54"/>
  <c r="Z29" i="54" s="1"/>
  <c r="P29" i="54"/>
  <c r="X29" i="54" s="1"/>
  <c r="H29" i="54"/>
  <c r="D29" i="54"/>
  <c r="L29" i="54" s="1"/>
  <c r="N29" i="54" s="1"/>
  <c r="V28" i="54"/>
  <c r="T28" i="54"/>
  <c r="Z28" i="54" s="1"/>
  <c r="P28" i="54"/>
  <c r="X28" i="54" s="1"/>
  <c r="H28" i="54"/>
  <c r="D28" i="54"/>
  <c r="L28" i="54" s="1"/>
  <c r="N28" i="54" s="1"/>
  <c r="V26" i="54"/>
  <c r="Z24" i="54"/>
  <c r="X24" i="54"/>
  <c r="V24" i="54"/>
  <c r="N24" i="54"/>
  <c r="L24" i="54"/>
  <c r="J24" i="54"/>
  <c r="F24" i="54"/>
  <c r="F22" i="54"/>
  <c r="T20" i="54"/>
  <c r="Z20" i="54" s="1"/>
  <c r="P20" i="54"/>
  <c r="H20" i="54"/>
  <c r="N20" i="54" s="1"/>
  <c r="F20" i="54"/>
  <c r="D20" i="54"/>
  <c r="T18" i="54"/>
  <c r="Z18" i="54" s="1"/>
  <c r="P18" i="54"/>
  <c r="X18" i="54" s="1"/>
  <c r="H18" i="54"/>
  <c r="N18" i="54" s="1"/>
  <c r="F18" i="54"/>
  <c r="D18" i="54"/>
  <c r="H16" i="54"/>
  <c r="N16" i="54" s="1"/>
  <c r="F16" i="54"/>
  <c r="T14" i="54"/>
  <c r="Z14" i="54" s="1"/>
  <c r="P14" i="54"/>
  <c r="H14" i="54"/>
  <c r="N14" i="54" s="1"/>
  <c r="F14" i="54"/>
  <c r="D14" i="54"/>
  <c r="L14" i="54" s="1"/>
  <c r="Z12" i="54"/>
  <c r="T12" i="54"/>
  <c r="V22" i="54" s="1"/>
  <c r="P12" i="54"/>
  <c r="L12" i="54"/>
  <c r="H12" i="54"/>
  <c r="N12" i="54" s="1"/>
  <c r="D12" i="54"/>
  <c r="F31" i="54" s="1"/>
  <c r="D6" i="54"/>
  <c r="D4" i="54"/>
  <c r="X102" i="51"/>
  <c r="Z102" i="51" s="1"/>
  <c r="L102" i="51"/>
  <c r="N102" i="51" s="1"/>
  <c r="X98" i="51"/>
  <c r="Z98" i="51" s="1"/>
  <c r="P98" i="51"/>
  <c r="D98" i="51"/>
  <c r="L98" i="51" s="1"/>
  <c r="N98" i="51" s="1"/>
  <c r="B98" i="51"/>
  <c r="Z97" i="51"/>
  <c r="P97" i="51"/>
  <c r="N97" i="51"/>
  <c r="D97" i="51"/>
  <c r="L97" i="51" s="1"/>
  <c r="B97" i="51"/>
  <c r="T96" i="51"/>
  <c r="H96" i="51"/>
  <c r="Z94" i="51"/>
  <c r="X94" i="51"/>
  <c r="N94" i="51"/>
  <c r="L94" i="51"/>
  <c r="B94" i="51"/>
  <c r="Z93" i="51"/>
  <c r="T93" i="51"/>
  <c r="P93" i="51"/>
  <c r="X93" i="51" s="1"/>
  <c r="N93" i="51"/>
  <c r="L93" i="51"/>
  <c r="H93" i="51"/>
  <c r="D93" i="51"/>
  <c r="B93" i="51"/>
  <c r="X92" i="51"/>
  <c r="Z92" i="51" s="1"/>
  <c r="L92" i="51"/>
  <c r="N92" i="51" s="1"/>
  <c r="B92" i="51"/>
  <c r="T91" i="51"/>
  <c r="P91" i="51"/>
  <c r="X91" i="51" s="1"/>
  <c r="H91" i="51"/>
  <c r="D91" i="51"/>
  <c r="B91" i="51"/>
  <c r="X90" i="51"/>
  <c r="Z90" i="51" s="1"/>
  <c r="N90" i="51"/>
  <c r="L90" i="51"/>
  <c r="B90" i="51"/>
  <c r="Z89" i="51"/>
  <c r="X89" i="51"/>
  <c r="N89" i="51"/>
  <c r="L89" i="51"/>
  <c r="B89" i="51"/>
  <c r="Z88" i="51"/>
  <c r="X88" i="51"/>
  <c r="N88" i="51"/>
  <c r="L88" i="51"/>
  <c r="B88" i="51"/>
  <c r="Z87" i="51"/>
  <c r="T87" i="51"/>
  <c r="P87" i="51"/>
  <c r="X87" i="51" s="1"/>
  <c r="N87" i="51"/>
  <c r="H87" i="51"/>
  <c r="D87" i="51"/>
  <c r="L87" i="51" s="1"/>
  <c r="B87" i="51"/>
  <c r="X86" i="51"/>
  <c r="Z86" i="51" s="1"/>
  <c r="N86" i="51"/>
  <c r="L86" i="51"/>
  <c r="B86" i="51"/>
  <c r="T85" i="51"/>
  <c r="P85" i="51"/>
  <c r="X85" i="51" s="1"/>
  <c r="Z85" i="51" s="1"/>
  <c r="L85" i="51"/>
  <c r="N85" i="51" s="1"/>
  <c r="J85" i="51"/>
  <c r="H85" i="51"/>
  <c r="D85" i="51"/>
  <c r="B85" i="51"/>
  <c r="Z84" i="51"/>
  <c r="X84" i="51"/>
  <c r="L84" i="51"/>
  <c r="N84" i="51" s="1"/>
  <c r="B84" i="51"/>
  <c r="T83" i="51"/>
  <c r="P83" i="51"/>
  <c r="X83" i="51" s="1"/>
  <c r="H83" i="51"/>
  <c r="D83" i="51"/>
  <c r="L83" i="51" s="1"/>
  <c r="N83" i="51" s="1"/>
  <c r="B83" i="51"/>
  <c r="X82" i="51"/>
  <c r="Z82" i="51" s="1"/>
  <c r="L82" i="51"/>
  <c r="N82" i="51" s="1"/>
  <c r="B82" i="51"/>
  <c r="X81" i="51"/>
  <c r="Z81" i="51" s="1"/>
  <c r="T81" i="51"/>
  <c r="P81" i="51"/>
  <c r="H81" i="51"/>
  <c r="D81" i="51"/>
  <c r="L81" i="51" s="1"/>
  <c r="N81" i="51" s="1"/>
  <c r="B81" i="51"/>
  <c r="Z80" i="51"/>
  <c r="X80" i="51"/>
  <c r="N80" i="51"/>
  <c r="L80" i="51"/>
  <c r="B80" i="51"/>
  <c r="X79" i="51"/>
  <c r="Z79" i="51" s="1"/>
  <c r="N79" i="51"/>
  <c r="L79" i="51"/>
  <c r="B79" i="51"/>
  <c r="X78" i="51"/>
  <c r="T78" i="51"/>
  <c r="Z78" i="51" s="1"/>
  <c r="P78" i="51"/>
  <c r="L78" i="51"/>
  <c r="N78" i="51" s="1"/>
  <c r="H78" i="51"/>
  <c r="D78" i="51"/>
  <c r="B78" i="51"/>
  <c r="Z77" i="51"/>
  <c r="X77" i="51"/>
  <c r="L77" i="51"/>
  <c r="N77" i="51" s="1"/>
  <c r="J77" i="51"/>
  <c r="B77" i="51"/>
  <c r="T76" i="51"/>
  <c r="P76" i="51"/>
  <c r="H76" i="51"/>
  <c r="D76" i="51"/>
  <c r="B76" i="51"/>
  <c r="Z75" i="51"/>
  <c r="X75" i="51"/>
  <c r="L75" i="51"/>
  <c r="N75" i="51" s="1"/>
  <c r="B75" i="51"/>
  <c r="T74" i="51"/>
  <c r="P74" i="51"/>
  <c r="X74" i="51" s="1"/>
  <c r="H74" i="51"/>
  <c r="D74" i="51"/>
  <c r="L74" i="51" s="1"/>
  <c r="B74" i="51"/>
  <c r="X73" i="51"/>
  <c r="Z73" i="51" s="1"/>
  <c r="N73" i="51"/>
  <c r="L73" i="51"/>
  <c r="B73" i="51"/>
  <c r="Z72" i="51"/>
  <c r="X72" i="51"/>
  <c r="T72" i="51"/>
  <c r="P72" i="51"/>
  <c r="L72" i="51"/>
  <c r="H72" i="51"/>
  <c r="N72" i="51" s="1"/>
  <c r="D72" i="51"/>
  <c r="B72" i="51"/>
  <c r="Z71" i="51"/>
  <c r="X71" i="51"/>
  <c r="N71" i="51"/>
  <c r="L71" i="51"/>
  <c r="B71" i="51"/>
  <c r="T70" i="51"/>
  <c r="P70" i="51"/>
  <c r="H70" i="51"/>
  <c r="D70" i="51"/>
  <c r="B70" i="51"/>
  <c r="Z69" i="51"/>
  <c r="X69" i="51"/>
  <c r="N69" i="51"/>
  <c r="L69" i="51"/>
  <c r="B69" i="51"/>
  <c r="Z68" i="51"/>
  <c r="X68" i="51"/>
  <c r="N68" i="51"/>
  <c r="L68" i="51"/>
  <c r="B68" i="51"/>
  <c r="Z67" i="51"/>
  <c r="X67" i="51"/>
  <c r="L67" i="51"/>
  <c r="N67" i="51" s="1"/>
  <c r="B67" i="51"/>
  <c r="X66" i="51"/>
  <c r="Z66" i="51" s="1"/>
  <c r="N66" i="51"/>
  <c r="L66" i="51"/>
  <c r="B66" i="51"/>
  <c r="Z65" i="51"/>
  <c r="X65" i="51"/>
  <c r="N65" i="51"/>
  <c r="L65" i="51"/>
  <c r="B65" i="51"/>
  <c r="Z64" i="51"/>
  <c r="X64" i="51"/>
  <c r="N64" i="51"/>
  <c r="L64" i="51"/>
  <c r="B64" i="51"/>
  <c r="Z63" i="51"/>
  <c r="X63" i="51"/>
  <c r="L63" i="51"/>
  <c r="N63" i="51" s="1"/>
  <c r="B63" i="51"/>
  <c r="Z62" i="51"/>
  <c r="X62" i="51"/>
  <c r="N62" i="51"/>
  <c r="L62" i="51"/>
  <c r="B62" i="51"/>
  <c r="X61" i="51"/>
  <c r="Z61" i="51" s="1"/>
  <c r="L61" i="51"/>
  <c r="N61" i="51" s="1"/>
  <c r="B61" i="51"/>
  <c r="Z60" i="51"/>
  <c r="X60" i="51"/>
  <c r="N60" i="51"/>
  <c r="L60" i="51"/>
  <c r="B60" i="51"/>
  <c r="T59" i="51"/>
  <c r="P59" i="51"/>
  <c r="X59" i="51" s="1"/>
  <c r="Z59" i="51" s="1"/>
  <c r="L59" i="51"/>
  <c r="N59" i="51" s="1"/>
  <c r="J59" i="51"/>
  <c r="H59" i="51"/>
  <c r="D59" i="51"/>
  <c r="B59" i="51"/>
  <c r="X58" i="51"/>
  <c r="Z58" i="51" s="1"/>
  <c r="N58" i="51"/>
  <c r="L58" i="51"/>
  <c r="J58" i="51"/>
  <c r="B58" i="51"/>
  <c r="X57" i="51"/>
  <c r="Z57" i="51" s="1"/>
  <c r="N57" i="51"/>
  <c r="L57" i="51"/>
  <c r="B57" i="51"/>
  <c r="X56" i="51"/>
  <c r="Z56" i="51" s="1"/>
  <c r="N56" i="51"/>
  <c r="L56" i="51"/>
  <c r="B56" i="51"/>
  <c r="Z55" i="51"/>
  <c r="X55" i="51"/>
  <c r="N55" i="51"/>
  <c r="L55" i="51"/>
  <c r="B55" i="51"/>
  <c r="Z54" i="51"/>
  <c r="X54" i="51"/>
  <c r="N54" i="51"/>
  <c r="L54" i="51"/>
  <c r="J54" i="51"/>
  <c r="B54" i="51"/>
  <c r="X53" i="51"/>
  <c r="Z53" i="51" s="1"/>
  <c r="N53" i="51"/>
  <c r="L53" i="51"/>
  <c r="B53" i="51"/>
  <c r="Z52" i="51"/>
  <c r="X52" i="51"/>
  <c r="N52" i="51"/>
  <c r="L52" i="51"/>
  <c r="B52" i="51"/>
  <c r="X51" i="51"/>
  <c r="Z51" i="51" s="1"/>
  <c r="N51" i="51"/>
  <c r="L51" i="51"/>
  <c r="B51" i="51"/>
  <c r="X50" i="51"/>
  <c r="Z50" i="51" s="1"/>
  <c r="N50" i="51"/>
  <c r="L50" i="51"/>
  <c r="J50" i="51"/>
  <c r="B50" i="51"/>
  <c r="X49" i="51"/>
  <c r="Z49" i="51" s="1"/>
  <c r="N49" i="51"/>
  <c r="L49" i="51"/>
  <c r="B49" i="51"/>
  <c r="X48" i="51"/>
  <c r="Z48" i="51" s="1"/>
  <c r="T48" i="51"/>
  <c r="P48" i="51"/>
  <c r="L48" i="51"/>
  <c r="H48" i="51"/>
  <c r="N48" i="51" s="1"/>
  <c r="D48" i="51"/>
  <c r="B48" i="51"/>
  <c r="T47" i="51"/>
  <c r="P47" i="51"/>
  <c r="X47" i="51" s="1"/>
  <c r="Z47" i="51" s="1"/>
  <c r="H47" i="51"/>
  <c r="D47" i="51"/>
  <c r="Z43" i="51"/>
  <c r="X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J41" i="51"/>
  <c r="B41" i="51"/>
  <c r="Z40" i="51"/>
  <c r="X40" i="51"/>
  <c r="N40" i="51"/>
  <c r="L40" i="51"/>
  <c r="B40" i="51"/>
  <c r="Z39" i="51"/>
  <c r="X39" i="51"/>
  <c r="N39" i="51"/>
  <c r="L39" i="51"/>
  <c r="B39" i="51"/>
  <c r="Z38" i="51"/>
  <c r="X38" i="51"/>
  <c r="R38" i="51"/>
  <c r="N38" i="51"/>
  <c r="L38" i="51"/>
  <c r="B38" i="51"/>
  <c r="Z37" i="51"/>
  <c r="X37" i="51"/>
  <c r="N37" i="51"/>
  <c r="L37" i="51"/>
  <c r="J37" i="51"/>
  <c r="B37" i="51"/>
  <c r="Z36" i="51"/>
  <c r="X36" i="51"/>
  <c r="N36" i="51"/>
  <c r="L36" i="51"/>
  <c r="B36" i="51"/>
  <c r="Z35" i="51"/>
  <c r="X35" i="51"/>
  <c r="N35" i="51"/>
  <c r="L35" i="51"/>
  <c r="B35" i="51"/>
  <c r="Z34" i="51"/>
  <c r="X34" i="51"/>
  <c r="N34" i="51"/>
  <c r="L34" i="51"/>
  <c r="B34" i="51"/>
  <c r="Z33" i="51"/>
  <c r="X33" i="51"/>
  <c r="L33" i="51"/>
  <c r="N33" i="51" s="1"/>
  <c r="J33" i="51"/>
  <c r="B33" i="51"/>
  <c r="T32" i="51"/>
  <c r="X32" i="51" s="1"/>
  <c r="Z32" i="51" s="1"/>
  <c r="P32" i="51"/>
  <c r="H32" i="51"/>
  <c r="D32" i="51"/>
  <c r="Z30" i="51"/>
  <c r="X30" i="51"/>
  <c r="P30" i="51"/>
  <c r="N30" i="51"/>
  <c r="D30" i="51"/>
  <c r="L30" i="51" s="1"/>
  <c r="B30" i="51"/>
  <c r="Z29" i="51"/>
  <c r="P29" i="51"/>
  <c r="X29" i="51" s="1"/>
  <c r="N29" i="51"/>
  <c r="D29" i="51"/>
  <c r="L29" i="51" s="1"/>
  <c r="B29" i="51"/>
  <c r="Z28" i="51"/>
  <c r="X28" i="51"/>
  <c r="P28" i="5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X25" i="51"/>
  <c r="P25" i="5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L22" i="51"/>
  <c r="D22" i="51"/>
  <c r="B22" i="51"/>
  <c r="Z21" i="51"/>
  <c r="P21" i="51"/>
  <c r="X21" i="51" s="1"/>
  <c r="N21" i="51"/>
  <c r="D21" i="51"/>
  <c r="L21" i="51" s="1"/>
  <c r="B21" i="51"/>
  <c r="Z20" i="51"/>
  <c r="P20" i="51"/>
  <c r="X20" i="51" s="1"/>
  <c r="N20" i="51"/>
  <c r="D20" i="51"/>
  <c r="L20" i="51" s="1"/>
  <c r="B20" i="51"/>
  <c r="X19" i="51"/>
  <c r="Z19" i="51" s="1"/>
  <c r="P19" i="51"/>
  <c r="L19" i="51"/>
  <c r="N19" i="51" s="1"/>
  <c r="D19" i="51"/>
  <c r="B19" i="51"/>
  <c r="Z18" i="51"/>
  <c r="X18" i="51"/>
  <c r="P18" i="51"/>
  <c r="N18" i="51"/>
  <c r="D18" i="51"/>
  <c r="L18" i="51" s="1"/>
  <c r="B18" i="51"/>
  <c r="Z17" i="51"/>
  <c r="X17" i="51"/>
  <c r="P17" i="51"/>
  <c r="P12" i="51" s="1"/>
  <c r="R51" i="51" s="1"/>
  <c r="N17" i="51"/>
  <c r="D17" i="51"/>
  <c r="L17" i="51" s="1"/>
  <c r="B17" i="51"/>
  <c r="Z16" i="51"/>
  <c r="X16" i="51"/>
  <c r="P16" i="5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P14" i="51"/>
  <c r="X14" i="51" s="1"/>
  <c r="N14" i="51"/>
  <c r="L14" i="51"/>
  <c r="D14" i="51"/>
  <c r="B14" i="51"/>
  <c r="X13" i="51"/>
  <c r="Z13" i="51" s="1"/>
  <c r="P13" i="51"/>
  <c r="L13" i="51"/>
  <c r="N13" i="51" s="1"/>
  <c r="D13" i="51"/>
  <c r="B13" i="51"/>
  <c r="T12" i="51"/>
  <c r="H12" i="51"/>
  <c r="J69" i="51" s="1"/>
  <c r="D4" i="51"/>
  <c r="X73" i="48"/>
  <c r="Z73" i="48" s="1"/>
  <c r="R73" i="48"/>
  <c r="N73" i="48"/>
  <c r="L73" i="48"/>
  <c r="P69" i="48"/>
  <c r="X69" i="48" s="1"/>
  <c r="Z69" i="48" s="1"/>
  <c r="N69" i="48"/>
  <c r="L69" i="48"/>
  <c r="J69" i="48"/>
  <c r="D69" i="48"/>
  <c r="B69" i="48"/>
  <c r="T68" i="48"/>
  <c r="P68" i="48"/>
  <c r="N68" i="48"/>
  <c r="J68" i="48"/>
  <c r="H68" i="48"/>
  <c r="L68" i="48" s="1"/>
  <c r="D68" i="48"/>
  <c r="Z66" i="48"/>
  <c r="X66" i="48"/>
  <c r="L66" i="48"/>
  <c r="N66" i="48" s="1"/>
  <c r="J66" i="48"/>
  <c r="B66" i="48"/>
  <c r="Z65" i="48"/>
  <c r="T65" i="48"/>
  <c r="P65" i="48"/>
  <c r="X65" i="48" s="1"/>
  <c r="H65" i="48"/>
  <c r="D65" i="48"/>
  <c r="B65" i="48"/>
  <c r="Z64" i="48"/>
  <c r="X64" i="48"/>
  <c r="N64" i="48"/>
  <c r="L64" i="48"/>
  <c r="B64" i="48"/>
  <c r="X63" i="48"/>
  <c r="Z63" i="48" s="1"/>
  <c r="V63" i="48"/>
  <c r="L63" i="48"/>
  <c r="N63" i="48" s="1"/>
  <c r="J63" i="48"/>
  <c r="B63" i="48"/>
  <c r="T62" i="48"/>
  <c r="R62" i="48"/>
  <c r="P62" i="48"/>
  <c r="X62" i="48" s="1"/>
  <c r="J62" i="48"/>
  <c r="H62" i="48"/>
  <c r="N62" i="48" s="1"/>
  <c r="D62" i="48"/>
  <c r="L62" i="48" s="1"/>
  <c r="B62" i="48"/>
  <c r="Z61" i="48"/>
  <c r="X61" i="48"/>
  <c r="R61" i="48"/>
  <c r="N61" i="48"/>
  <c r="L61" i="48"/>
  <c r="B61" i="48"/>
  <c r="Z60" i="48"/>
  <c r="X60" i="48"/>
  <c r="N60" i="48"/>
  <c r="L60" i="48"/>
  <c r="J60" i="48"/>
  <c r="B60" i="48"/>
  <c r="X59" i="48"/>
  <c r="Z59" i="48" s="1"/>
  <c r="N59" i="48"/>
  <c r="L59" i="48"/>
  <c r="J59" i="48"/>
  <c r="B59" i="48"/>
  <c r="Z58" i="48"/>
  <c r="X58" i="48"/>
  <c r="N58" i="48"/>
  <c r="L58" i="48"/>
  <c r="B58" i="48"/>
  <c r="T57" i="48"/>
  <c r="X57" i="48" s="1"/>
  <c r="R57" i="48"/>
  <c r="P57" i="48"/>
  <c r="L57" i="48"/>
  <c r="J57" i="48"/>
  <c r="H57" i="48"/>
  <c r="N57" i="48" s="1"/>
  <c r="F57" i="48"/>
  <c r="D57" i="48"/>
  <c r="B57" i="48"/>
  <c r="Z56" i="48"/>
  <c r="X56" i="48"/>
  <c r="R56" i="48"/>
  <c r="L56" i="48"/>
  <c r="N56" i="48" s="1"/>
  <c r="J56" i="48"/>
  <c r="B56" i="48"/>
  <c r="T55" i="48"/>
  <c r="P55" i="48"/>
  <c r="N55" i="48"/>
  <c r="H55" i="48"/>
  <c r="D55" i="48"/>
  <c r="L55" i="48" s="1"/>
  <c r="B55" i="48"/>
  <c r="X54" i="48"/>
  <c r="Z54" i="48" s="1"/>
  <c r="N54" i="48"/>
  <c r="L54" i="48"/>
  <c r="B54" i="48"/>
  <c r="T53" i="48"/>
  <c r="P53" i="48"/>
  <c r="X53" i="48" s="1"/>
  <c r="Z53" i="48" s="1"/>
  <c r="J53" i="48"/>
  <c r="H53" i="48"/>
  <c r="D53" i="48"/>
  <c r="L53" i="48" s="1"/>
  <c r="N53" i="48" s="1"/>
  <c r="B53" i="48"/>
  <c r="X52" i="48"/>
  <c r="Z52" i="48" s="1"/>
  <c r="N52" i="48"/>
  <c r="L52" i="48"/>
  <c r="J52" i="48"/>
  <c r="F52" i="48"/>
  <c r="B52" i="48"/>
  <c r="X51" i="48"/>
  <c r="T51" i="48"/>
  <c r="Z51" i="48" s="1"/>
  <c r="P51" i="48"/>
  <c r="L51" i="48"/>
  <c r="H51" i="48"/>
  <c r="F51" i="48"/>
  <c r="D51" i="48"/>
  <c r="B51" i="48"/>
  <c r="Z50" i="48"/>
  <c r="X50" i="48"/>
  <c r="R50" i="48"/>
  <c r="L50" i="48"/>
  <c r="N50" i="48" s="1"/>
  <c r="J50" i="48"/>
  <c r="B50" i="48"/>
  <c r="Z49" i="48"/>
  <c r="X49" i="48"/>
  <c r="N49" i="48"/>
  <c r="L49" i="48"/>
  <c r="J49" i="48"/>
  <c r="B49" i="48"/>
  <c r="Z48" i="48"/>
  <c r="T48" i="48"/>
  <c r="X48" i="48" s="1"/>
  <c r="P48" i="48"/>
  <c r="H48" i="48"/>
  <c r="D48" i="48"/>
  <c r="B48" i="48"/>
  <c r="X47" i="48"/>
  <c r="Z47" i="48" s="1"/>
  <c r="L47" i="48"/>
  <c r="N47" i="48" s="1"/>
  <c r="J47" i="48"/>
  <c r="B47" i="48"/>
  <c r="T46" i="48"/>
  <c r="Z46" i="48" s="1"/>
  <c r="R46" i="48"/>
  <c r="P46" i="48"/>
  <c r="X46" i="48" s="1"/>
  <c r="J46" i="48"/>
  <c r="H46" i="48"/>
  <c r="N46" i="48" s="1"/>
  <c r="D46" i="48"/>
  <c r="L46" i="48" s="1"/>
  <c r="B46" i="48"/>
  <c r="X45" i="48"/>
  <c r="Z45" i="48" s="1"/>
  <c r="R45" i="48"/>
  <c r="N45" i="48"/>
  <c r="L45" i="48"/>
  <c r="J45" i="48"/>
  <c r="F45" i="48"/>
  <c r="B45" i="48"/>
  <c r="X44" i="48"/>
  <c r="T44" i="48"/>
  <c r="Z44" i="48" s="1"/>
  <c r="R44" i="48"/>
  <c r="P44" i="48"/>
  <c r="L44" i="48"/>
  <c r="N44" i="48" s="1"/>
  <c r="H44" i="48"/>
  <c r="D44" i="48"/>
  <c r="B44" i="48"/>
  <c r="Z43" i="48"/>
  <c r="X43" i="48"/>
  <c r="L43" i="48"/>
  <c r="N43" i="48" s="1"/>
  <c r="J43" i="48"/>
  <c r="B43" i="48"/>
  <c r="T42" i="48"/>
  <c r="X42" i="48" s="1"/>
  <c r="P42" i="48"/>
  <c r="J42" i="48"/>
  <c r="H42" i="48"/>
  <c r="L42" i="48" s="1"/>
  <c r="D42" i="48"/>
  <c r="B42" i="48"/>
  <c r="Z41" i="48"/>
  <c r="X41" i="48"/>
  <c r="N41" i="48"/>
  <c r="L41" i="48"/>
  <c r="J41" i="48"/>
  <c r="F41" i="48"/>
  <c r="B41" i="48"/>
  <c r="Z40" i="48"/>
  <c r="X40" i="48"/>
  <c r="N40" i="48"/>
  <c r="L40" i="48"/>
  <c r="B40" i="48"/>
  <c r="X39" i="48"/>
  <c r="Z39" i="48" s="1"/>
  <c r="L39" i="48"/>
  <c r="N39" i="48" s="1"/>
  <c r="J39" i="48"/>
  <c r="B39" i="48"/>
  <c r="X38" i="48"/>
  <c r="Z38" i="48" s="1"/>
  <c r="N38" i="48"/>
  <c r="L38" i="48"/>
  <c r="B38" i="48"/>
  <c r="Z37" i="48"/>
  <c r="X37" i="48"/>
  <c r="V37" i="48"/>
  <c r="N37" i="48"/>
  <c r="L37" i="48"/>
  <c r="J37" i="48"/>
  <c r="F37" i="48"/>
  <c r="B37" i="48"/>
  <c r="Z36" i="48"/>
  <c r="X36" i="48"/>
  <c r="R36" i="48"/>
  <c r="N36" i="48"/>
  <c r="L36" i="48"/>
  <c r="B36" i="48"/>
  <c r="X35" i="48"/>
  <c r="Z35" i="48" s="1"/>
  <c r="L35" i="48"/>
  <c r="N35" i="48" s="1"/>
  <c r="J35" i="48"/>
  <c r="B35" i="48"/>
  <c r="Z34" i="48"/>
  <c r="X34" i="48"/>
  <c r="N34" i="48"/>
  <c r="L34" i="48"/>
  <c r="B34" i="48"/>
  <c r="Z33" i="48"/>
  <c r="X33" i="48"/>
  <c r="L33" i="48"/>
  <c r="N33" i="48" s="1"/>
  <c r="J33" i="48"/>
  <c r="B33" i="48"/>
  <c r="X32" i="48"/>
  <c r="Z32" i="48" s="1"/>
  <c r="R32" i="48"/>
  <c r="L32" i="48"/>
  <c r="N32" i="48" s="1"/>
  <c r="B32" i="48"/>
  <c r="X31" i="48"/>
  <c r="Z31" i="48" s="1"/>
  <c r="T31" i="48"/>
  <c r="P31" i="48"/>
  <c r="N31" i="48"/>
  <c r="J31" i="48"/>
  <c r="H31" i="48"/>
  <c r="D31" i="48"/>
  <c r="L31" i="48" s="1"/>
  <c r="B31" i="48"/>
  <c r="Z30" i="48"/>
  <c r="X30" i="48"/>
  <c r="L30" i="48"/>
  <c r="N30" i="48" s="1"/>
  <c r="J30" i="48"/>
  <c r="F30" i="48"/>
  <c r="B30" i="48"/>
  <c r="X29" i="48"/>
  <c r="Z29" i="48" s="1"/>
  <c r="R29" i="48"/>
  <c r="N29" i="48"/>
  <c r="L29" i="48"/>
  <c r="J29" i="48"/>
  <c r="B29" i="48"/>
  <c r="X28" i="48"/>
  <c r="Z28" i="48" s="1"/>
  <c r="L28" i="48"/>
  <c r="N28" i="48" s="1"/>
  <c r="J28" i="48"/>
  <c r="F28" i="48"/>
  <c r="B28" i="48"/>
  <c r="Z27" i="48"/>
  <c r="X27" i="48"/>
  <c r="N27" i="48"/>
  <c r="L27" i="48"/>
  <c r="J27" i="48"/>
  <c r="F27" i="48"/>
  <c r="B27" i="48"/>
  <c r="Z26" i="48"/>
  <c r="X26" i="48"/>
  <c r="N26" i="48"/>
  <c r="L26" i="48"/>
  <c r="J26" i="48"/>
  <c r="F26" i="48"/>
  <c r="B26" i="48"/>
  <c r="X25" i="48"/>
  <c r="Z25" i="48" s="1"/>
  <c r="R25" i="48"/>
  <c r="N25" i="48"/>
  <c r="L25" i="48"/>
  <c r="J25" i="48"/>
  <c r="F25" i="48"/>
  <c r="B25" i="48"/>
  <c r="X24" i="48"/>
  <c r="Z24" i="48" s="1"/>
  <c r="N24" i="48"/>
  <c r="L24" i="48"/>
  <c r="J24" i="48"/>
  <c r="F24" i="48"/>
  <c r="B24" i="48"/>
  <c r="X23" i="48"/>
  <c r="Z23" i="48" s="1"/>
  <c r="N23" i="48"/>
  <c r="L23" i="48"/>
  <c r="J23" i="48"/>
  <c r="F23" i="48"/>
  <c r="B23" i="48"/>
  <c r="Z22" i="48"/>
  <c r="X22" i="48"/>
  <c r="L22" i="48"/>
  <c r="N22" i="48" s="1"/>
  <c r="J22" i="48"/>
  <c r="B22" i="48"/>
  <c r="X21" i="48"/>
  <c r="Z21" i="48" s="1"/>
  <c r="R21" i="48"/>
  <c r="N21" i="48"/>
  <c r="L21" i="48"/>
  <c r="J21" i="48"/>
  <c r="F21" i="48"/>
  <c r="B21" i="48"/>
  <c r="T20" i="48"/>
  <c r="P20" i="48"/>
  <c r="L20" i="48"/>
  <c r="N20" i="48" s="1"/>
  <c r="H20" i="48"/>
  <c r="F20" i="48"/>
  <c r="D20" i="48"/>
  <c r="B20" i="48"/>
  <c r="T19" i="48"/>
  <c r="P19" i="48"/>
  <c r="R19" i="48" s="1"/>
  <c r="H19" i="48"/>
  <c r="D19" i="48"/>
  <c r="P17" i="48"/>
  <c r="Z15" i="48"/>
  <c r="T15" i="48"/>
  <c r="R15" i="48"/>
  <c r="P15" i="48"/>
  <c r="H15" i="48"/>
  <c r="J15" i="48" s="1"/>
  <c r="F15" i="48"/>
  <c r="D15" i="48"/>
  <c r="Z13" i="48"/>
  <c r="P13" i="48"/>
  <c r="X13" i="48" s="1"/>
  <c r="L13" i="48"/>
  <c r="N13" i="48" s="1"/>
  <c r="D13" i="48"/>
  <c r="D12" i="48" s="1"/>
  <c r="F60" i="48" s="1"/>
  <c r="B13" i="48"/>
  <c r="T12" i="48"/>
  <c r="V23" i="48" s="1"/>
  <c r="P12" i="48"/>
  <c r="L12" i="48"/>
  <c r="N12" i="48" s="1"/>
  <c r="H12" i="48"/>
  <c r="J73" i="48" s="1"/>
  <c r="D4" i="48"/>
  <c r="Z103" i="45"/>
  <c r="X103" i="45"/>
  <c r="L103" i="45"/>
  <c r="N103" i="45" s="1"/>
  <c r="Z99" i="45"/>
  <c r="X99" i="45"/>
  <c r="T99" i="45"/>
  <c r="R99" i="45"/>
  <c r="P99" i="45"/>
  <c r="H99" i="45"/>
  <c r="N99" i="45" s="1"/>
  <c r="D99" i="45"/>
  <c r="X97" i="45"/>
  <c r="Z97" i="45" s="1"/>
  <c r="N97" i="45"/>
  <c r="L97" i="45"/>
  <c r="B97" i="45"/>
  <c r="X96" i="45"/>
  <c r="Z96" i="45" s="1"/>
  <c r="T96" i="45"/>
  <c r="P96" i="45"/>
  <c r="H96" i="45"/>
  <c r="D96" i="45"/>
  <c r="L96" i="45" s="1"/>
  <c r="N96" i="45" s="1"/>
  <c r="B96" i="45"/>
  <c r="Z95" i="45"/>
  <c r="X95" i="45"/>
  <c r="N95" i="45"/>
  <c r="L95" i="45"/>
  <c r="B95" i="45"/>
  <c r="V94" i="45"/>
  <c r="T94" i="45"/>
  <c r="P94" i="45"/>
  <c r="X94" i="45" s="1"/>
  <c r="Z94" i="45" s="1"/>
  <c r="L94" i="45"/>
  <c r="H94" i="45"/>
  <c r="N94" i="45" s="1"/>
  <c r="D94" i="45"/>
  <c r="B94" i="45"/>
  <c r="Z93" i="45"/>
  <c r="X93" i="45"/>
  <c r="N93" i="45"/>
  <c r="L93" i="45"/>
  <c r="B93" i="45"/>
  <c r="X92" i="45"/>
  <c r="Z92" i="45" s="1"/>
  <c r="L92" i="45"/>
  <c r="N92" i="45" s="1"/>
  <c r="B92" i="45"/>
  <c r="T91" i="45"/>
  <c r="P91" i="45"/>
  <c r="X91" i="45" s="1"/>
  <c r="Z91" i="45" s="1"/>
  <c r="N91" i="45"/>
  <c r="L91" i="45"/>
  <c r="H91" i="45"/>
  <c r="D91" i="45"/>
  <c r="B91" i="45"/>
  <c r="X90" i="45"/>
  <c r="Z90" i="45" s="1"/>
  <c r="N90" i="45"/>
  <c r="L90" i="45"/>
  <c r="B90" i="45"/>
  <c r="Z89" i="45"/>
  <c r="X89" i="45"/>
  <c r="R89" i="45"/>
  <c r="N89" i="45"/>
  <c r="L89" i="45"/>
  <c r="B89" i="45"/>
  <c r="Z88" i="45"/>
  <c r="X88" i="45"/>
  <c r="N88" i="45"/>
  <c r="L88" i="45"/>
  <c r="B88" i="45"/>
  <c r="X87" i="45"/>
  <c r="Z87" i="45" s="1"/>
  <c r="V87" i="45"/>
  <c r="N87" i="45"/>
  <c r="L87" i="45"/>
  <c r="B87" i="45"/>
  <c r="X86" i="45"/>
  <c r="Z86" i="45" s="1"/>
  <c r="L86" i="45"/>
  <c r="N86" i="45" s="1"/>
  <c r="B86" i="45"/>
  <c r="X85" i="45"/>
  <c r="Z85" i="45" s="1"/>
  <c r="V85" i="45"/>
  <c r="N85" i="45"/>
  <c r="L85" i="45"/>
  <c r="B85" i="45"/>
  <c r="Z84" i="45"/>
  <c r="X84" i="45"/>
  <c r="L84" i="45"/>
  <c r="N84" i="45" s="1"/>
  <c r="B84" i="45"/>
  <c r="Z83" i="45"/>
  <c r="X83" i="45"/>
  <c r="N83" i="45"/>
  <c r="L83" i="45"/>
  <c r="B83" i="45"/>
  <c r="Z82" i="45"/>
  <c r="X82" i="45"/>
  <c r="N82" i="45"/>
  <c r="L82" i="45"/>
  <c r="B82" i="45"/>
  <c r="X81" i="45"/>
  <c r="Z81" i="45" s="1"/>
  <c r="N81" i="45"/>
  <c r="L81" i="45"/>
  <c r="B81" i="45"/>
  <c r="T80" i="45"/>
  <c r="P80" i="45"/>
  <c r="H80" i="45"/>
  <c r="D80" i="45"/>
  <c r="B80" i="45"/>
  <c r="Z79" i="45"/>
  <c r="X79" i="45"/>
  <c r="V79" i="45"/>
  <c r="N79" i="45"/>
  <c r="L79" i="45"/>
  <c r="B79" i="45"/>
  <c r="T78" i="45"/>
  <c r="P78" i="45"/>
  <c r="N78" i="45"/>
  <c r="L78" i="45"/>
  <c r="H78" i="45"/>
  <c r="D78" i="45"/>
  <c r="B78" i="45"/>
  <c r="X77" i="45"/>
  <c r="Z77" i="45" s="1"/>
  <c r="L77" i="45"/>
  <c r="N77" i="45" s="1"/>
  <c r="B77" i="45"/>
  <c r="X76" i="45"/>
  <c r="Z76" i="45" s="1"/>
  <c r="L76" i="45"/>
  <c r="N76" i="45" s="1"/>
  <c r="B76" i="45"/>
  <c r="X75" i="45"/>
  <c r="Z75" i="45" s="1"/>
  <c r="L75" i="45"/>
  <c r="N75" i="45" s="1"/>
  <c r="B75" i="45"/>
  <c r="X74" i="45"/>
  <c r="Z74" i="45" s="1"/>
  <c r="V74" i="45"/>
  <c r="N74" i="45"/>
  <c r="L74" i="45"/>
  <c r="B74" i="45"/>
  <c r="X73" i="45"/>
  <c r="Z73" i="45" s="1"/>
  <c r="V73" i="45"/>
  <c r="T73" i="45"/>
  <c r="P73" i="45"/>
  <c r="L73" i="45"/>
  <c r="N73" i="45" s="1"/>
  <c r="H73" i="45"/>
  <c r="D73" i="45"/>
  <c r="B73" i="45"/>
  <c r="Z72" i="45"/>
  <c r="X72" i="45"/>
  <c r="N72" i="45"/>
  <c r="L72" i="45"/>
  <c r="B72" i="45"/>
  <c r="X71" i="45"/>
  <c r="Z71" i="45" s="1"/>
  <c r="N71" i="45"/>
  <c r="L71" i="45"/>
  <c r="B71" i="45"/>
  <c r="X70" i="45"/>
  <c r="Z70" i="45" s="1"/>
  <c r="N70" i="45"/>
  <c r="L70" i="45"/>
  <c r="B70" i="45"/>
  <c r="Z69" i="45"/>
  <c r="X69" i="45"/>
  <c r="V69" i="45"/>
  <c r="L69" i="45"/>
  <c r="N69" i="45" s="1"/>
  <c r="B69" i="45"/>
  <c r="V68" i="45"/>
  <c r="T68" i="45"/>
  <c r="P68" i="45"/>
  <c r="X68" i="45" s="1"/>
  <c r="H68" i="45"/>
  <c r="D68" i="45"/>
  <c r="L68" i="45" s="1"/>
  <c r="N68" i="45" s="1"/>
  <c r="B68" i="45"/>
  <c r="X67" i="45"/>
  <c r="Z67" i="45" s="1"/>
  <c r="V67" i="45"/>
  <c r="N67" i="45"/>
  <c r="L67" i="45"/>
  <c r="B67" i="45"/>
  <c r="X66" i="45"/>
  <c r="T66" i="45"/>
  <c r="Z66" i="45" s="1"/>
  <c r="P66" i="45"/>
  <c r="L66" i="45"/>
  <c r="H66" i="45"/>
  <c r="N66" i="45" s="1"/>
  <c r="D66" i="45"/>
  <c r="B66" i="45"/>
  <c r="Z65" i="45"/>
  <c r="X65" i="45"/>
  <c r="N65" i="45"/>
  <c r="L65" i="45"/>
  <c r="B65" i="45"/>
  <c r="T64" i="45"/>
  <c r="P64" i="45"/>
  <c r="X64" i="45" s="1"/>
  <c r="H64" i="45"/>
  <c r="D64" i="45"/>
  <c r="B64" i="45"/>
  <c r="Z63" i="45"/>
  <c r="X63" i="45"/>
  <c r="V63" i="45"/>
  <c r="L63" i="45"/>
  <c r="N63" i="45" s="1"/>
  <c r="B63" i="45"/>
  <c r="V62" i="45"/>
  <c r="T62" i="45"/>
  <c r="P62" i="45"/>
  <c r="X62" i="45" s="1"/>
  <c r="Z62" i="45" s="1"/>
  <c r="H62" i="45"/>
  <c r="N62" i="45" s="1"/>
  <c r="D62" i="45"/>
  <c r="L62" i="45" s="1"/>
  <c r="B62" i="45"/>
  <c r="Z61" i="45"/>
  <c r="X61" i="45"/>
  <c r="N61" i="45"/>
  <c r="L61" i="45"/>
  <c r="B61" i="45"/>
  <c r="X60" i="45"/>
  <c r="T60" i="45"/>
  <c r="Z60" i="45" s="1"/>
  <c r="P60" i="45"/>
  <c r="L60" i="45"/>
  <c r="H60" i="45"/>
  <c r="N60" i="45" s="1"/>
  <c r="D60" i="45"/>
  <c r="B60" i="45"/>
  <c r="Z59" i="45"/>
  <c r="X59" i="45"/>
  <c r="V59" i="45"/>
  <c r="N59" i="45"/>
  <c r="L59" i="45"/>
  <c r="J59" i="45"/>
  <c r="B59" i="45"/>
  <c r="T58" i="45"/>
  <c r="P58" i="45"/>
  <c r="H58" i="45"/>
  <c r="D58" i="45"/>
  <c r="B58" i="45"/>
  <c r="Z57" i="45"/>
  <c r="X57" i="45"/>
  <c r="V57" i="45"/>
  <c r="N57" i="45"/>
  <c r="L57" i="45"/>
  <c r="B57" i="45"/>
  <c r="V56" i="45"/>
  <c r="T56" i="45"/>
  <c r="P56" i="45"/>
  <c r="X56" i="45" s="1"/>
  <c r="H56" i="45"/>
  <c r="D56" i="45"/>
  <c r="L56" i="45" s="1"/>
  <c r="N56" i="45" s="1"/>
  <c r="B56" i="45"/>
  <c r="X55" i="45"/>
  <c r="Z55" i="45" s="1"/>
  <c r="V55" i="45"/>
  <c r="N55" i="45"/>
  <c r="L55" i="45"/>
  <c r="B55" i="45"/>
  <c r="X54" i="45"/>
  <c r="T54" i="45"/>
  <c r="P54" i="45"/>
  <c r="L54" i="45"/>
  <c r="H54" i="45"/>
  <c r="N54" i="45" s="1"/>
  <c r="D54" i="45"/>
  <c r="B54" i="45"/>
  <c r="Z53" i="45"/>
  <c r="X53" i="45"/>
  <c r="N53" i="45"/>
  <c r="L53" i="45"/>
  <c r="B53" i="45"/>
  <c r="T52" i="45"/>
  <c r="P52" i="45"/>
  <c r="H52" i="45"/>
  <c r="D52" i="45"/>
  <c r="L52" i="45" s="1"/>
  <c r="B52" i="45"/>
  <c r="Z51" i="45"/>
  <c r="X51" i="45"/>
  <c r="V51" i="45"/>
  <c r="L51" i="45"/>
  <c r="N51" i="45" s="1"/>
  <c r="B51" i="45"/>
  <c r="V50" i="45"/>
  <c r="T50" i="45"/>
  <c r="P50" i="45"/>
  <c r="X50" i="45" s="1"/>
  <c r="Z50" i="45" s="1"/>
  <c r="H50" i="45"/>
  <c r="N50" i="45" s="1"/>
  <c r="D50" i="45"/>
  <c r="L50" i="45" s="1"/>
  <c r="B50" i="45"/>
  <c r="Z49" i="45"/>
  <c r="X49" i="45"/>
  <c r="N49" i="45"/>
  <c r="L49" i="45"/>
  <c r="B49" i="45"/>
  <c r="X48" i="45"/>
  <c r="T48" i="45"/>
  <c r="Z48" i="45" s="1"/>
  <c r="P48" i="45"/>
  <c r="L48" i="45"/>
  <c r="H48" i="45"/>
  <c r="D48" i="45"/>
  <c r="B48" i="45"/>
  <c r="Z47" i="45"/>
  <c r="X47" i="45"/>
  <c r="V47" i="45"/>
  <c r="N47" i="45"/>
  <c r="L47" i="45"/>
  <c r="J47" i="45"/>
  <c r="B47" i="45"/>
  <c r="Z46" i="45"/>
  <c r="X46" i="45"/>
  <c r="N46" i="45"/>
  <c r="L46" i="45"/>
  <c r="B46" i="45"/>
  <c r="Z45" i="45"/>
  <c r="X45" i="45"/>
  <c r="N45" i="45"/>
  <c r="L45" i="45"/>
  <c r="B45" i="45"/>
  <c r="Z44" i="45"/>
  <c r="X44" i="45"/>
  <c r="N44" i="45"/>
  <c r="L44" i="45"/>
  <c r="B44" i="45"/>
  <c r="Z43" i="45"/>
  <c r="X43" i="45"/>
  <c r="V43" i="45"/>
  <c r="N43" i="45"/>
  <c r="L43" i="45"/>
  <c r="J43" i="45"/>
  <c r="B43" i="45"/>
  <c r="X42" i="45"/>
  <c r="Z42" i="45" s="1"/>
  <c r="L42" i="45"/>
  <c r="N42" i="45" s="1"/>
  <c r="B42" i="45"/>
  <c r="Z41" i="45"/>
  <c r="X41" i="45"/>
  <c r="N41" i="45"/>
  <c r="L41" i="45"/>
  <c r="B41" i="45"/>
  <c r="Z40" i="45"/>
  <c r="X40" i="45"/>
  <c r="R40" i="45"/>
  <c r="N40" i="45"/>
  <c r="L40" i="45"/>
  <c r="B40" i="45"/>
  <c r="Z39" i="45"/>
  <c r="X39" i="45"/>
  <c r="V39" i="45"/>
  <c r="N39" i="45"/>
  <c r="L39" i="45"/>
  <c r="J39" i="45"/>
  <c r="B39" i="45"/>
  <c r="Z38" i="45"/>
  <c r="X38" i="45"/>
  <c r="N38" i="45"/>
  <c r="L38" i="45"/>
  <c r="B38" i="45"/>
  <c r="Z37" i="45"/>
  <c r="T37" i="45"/>
  <c r="P37" i="45"/>
  <c r="X37" i="45" s="1"/>
  <c r="J37" i="45"/>
  <c r="H37" i="45"/>
  <c r="L37" i="45" s="1"/>
  <c r="N37" i="45" s="1"/>
  <c r="D37" i="45"/>
  <c r="B37" i="45"/>
  <c r="X36" i="45"/>
  <c r="Z36" i="45" s="1"/>
  <c r="V36" i="45"/>
  <c r="L36" i="45"/>
  <c r="N36" i="45" s="1"/>
  <c r="B36" i="45"/>
  <c r="Z35" i="45"/>
  <c r="X35" i="45"/>
  <c r="V35" i="45"/>
  <c r="L35" i="45"/>
  <c r="N35" i="45" s="1"/>
  <c r="B35" i="45"/>
  <c r="X34" i="45"/>
  <c r="Z34" i="45" s="1"/>
  <c r="V34" i="45"/>
  <c r="L34" i="45"/>
  <c r="N34" i="45" s="1"/>
  <c r="B34" i="45"/>
  <c r="Z33" i="45"/>
  <c r="X33" i="45"/>
  <c r="V33" i="45"/>
  <c r="N33" i="45"/>
  <c r="L33" i="45"/>
  <c r="B33" i="45"/>
  <c r="Z32" i="45"/>
  <c r="X32" i="45"/>
  <c r="V32" i="45"/>
  <c r="N32" i="45"/>
  <c r="L32" i="45"/>
  <c r="B32" i="45"/>
  <c r="Z31" i="45"/>
  <c r="X31" i="45"/>
  <c r="V31" i="45"/>
  <c r="L31" i="45"/>
  <c r="N31" i="45" s="1"/>
  <c r="B31" i="45"/>
  <c r="X30" i="45"/>
  <c r="Z30" i="45" s="1"/>
  <c r="V30" i="45"/>
  <c r="L30" i="45"/>
  <c r="N30" i="45" s="1"/>
  <c r="B30" i="45"/>
  <c r="Z29" i="45"/>
  <c r="X29" i="45"/>
  <c r="V29" i="45"/>
  <c r="N29" i="45"/>
  <c r="L29" i="45"/>
  <c r="B29" i="45"/>
  <c r="X28" i="45"/>
  <c r="Z28" i="45" s="1"/>
  <c r="V28" i="45"/>
  <c r="L28" i="45"/>
  <c r="N28" i="45" s="1"/>
  <c r="B28" i="45"/>
  <c r="Z27" i="45"/>
  <c r="X27" i="45"/>
  <c r="V27" i="45"/>
  <c r="L27" i="45"/>
  <c r="N27" i="45" s="1"/>
  <c r="B27" i="45"/>
  <c r="V26" i="45"/>
  <c r="T26" i="45"/>
  <c r="P26" i="45"/>
  <c r="X26" i="45" s="1"/>
  <c r="Z26" i="45" s="1"/>
  <c r="H26" i="45"/>
  <c r="D26" i="45"/>
  <c r="L26" i="45" s="1"/>
  <c r="B26" i="45"/>
  <c r="T25" i="45"/>
  <c r="P25" i="45"/>
  <c r="H25" i="45"/>
  <c r="J25" i="45" s="1"/>
  <c r="D25" i="45"/>
  <c r="L25" i="45" s="1"/>
  <c r="N25" i="45" s="1"/>
  <c r="Z21" i="45"/>
  <c r="X21" i="45"/>
  <c r="N21" i="45"/>
  <c r="L21" i="45"/>
  <c r="B21" i="45"/>
  <c r="Z20" i="45"/>
  <c r="X20" i="45"/>
  <c r="V20" i="45"/>
  <c r="N20" i="45"/>
  <c r="L20" i="45"/>
  <c r="B20" i="45"/>
  <c r="X19" i="45"/>
  <c r="Z19" i="45" s="1"/>
  <c r="V19" i="45"/>
  <c r="N19" i="45"/>
  <c r="L19" i="45"/>
  <c r="J19" i="45"/>
  <c r="B19" i="45"/>
  <c r="X18" i="45"/>
  <c r="T18" i="45"/>
  <c r="Z18" i="45" s="1"/>
  <c r="P18" i="45"/>
  <c r="H18" i="45"/>
  <c r="D18" i="45"/>
  <c r="Z16" i="45"/>
  <c r="X16" i="45"/>
  <c r="P16" i="45"/>
  <c r="N16" i="45"/>
  <c r="D16" i="45"/>
  <c r="L16" i="45" s="1"/>
  <c r="B16" i="45"/>
  <c r="Z15" i="45"/>
  <c r="P15" i="45"/>
  <c r="P12" i="45" s="1"/>
  <c r="R44" i="45" s="1"/>
  <c r="N15" i="45"/>
  <c r="D15" i="45"/>
  <c r="L15" i="45" s="1"/>
  <c r="B15" i="45"/>
  <c r="P14" i="45"/>
  <c r="X14" i="45" s="1"/>
  <c r="Z14" i="45" s="1"/>
  <c r="D14" i="45"/>
  <c r="L14" i="45" s="1"/>
  <c r="N14" i="45" s="1"/>
  <c r="B14" i="45"/>
  <c r="Z13" i="45"/>
  <c r="X13" i="45"/>
  <c r="P13" i="45"/>
  <c r="N13" i="45"/>
  <c r="L13" i="45"/>
  <c r="D13" i="45"/>
  <c r="B13" i="45"/>
  <c r="T12" i="45"/>
  <c r="V92" i="45" s="1"/>
  <c r="H12" i="45"/>
  <c r="J103" i="45" s="1"/>
  <c r="D4" i="45"/>
  <c r="X121" i="42"/>
  <c r="Z121" i="42" s="1"/>
  <c r="N121" i="42"/>
  <c r="L121" i="42"/>
  <c r="Z117" i="42"/>
  <c r="P117" i="42"/>
  <c r="X117" i="42" s="1"/>
  <c r="N117" i="42"/>
  <c r="L117" i="42"/>
  <c r="D117" i="42"/>
  <c r="B117" i="42"/>
  <c r="Z116" i="42"/>
  <c r="X116" i="42"/>
  <c r="P116" i="42"/>
  <c r="D116" i="42"/>
  <c r="L116" i="42" s="1"/>
  <c r="N116" i="42" s="1"/>
  <c r="B116" i="42"/>
  <c r="P115" i="42"/>
  <c r="L115" i="42"/>
  <c r="N115" i="42" s="1"/>
  <c r="D115" i="42"/>
  <c r="B115" i="42"/>
  <c r="X114" i="42"/>
  <c r="Z114" i="42" s="1"/>
  <c r="P114" i="42"/>
  <c r="D114" i="42"/>
  <c r="D113" i="42" s="1"/>
  <c r="L113" i="42" s="1"/>
  <c r="N113" i="42" s="1"/>
  <c r="B114" i="42"/>
  <c r="T113" i="42"/>
  <c r="H113" i="42"/>
  <c r="Z111" i="42"/>
  <c r="X111" i="42"/>
  <c r="L111" i="42"/>
  <c r="N111" i="42" s="1"/>
  <c r="B111" i="42"/>
  <c r="T110" i="42"/>
  <c r="Z110" i="42" s="1"/>
  <c r="P110" i="42"/>
  <c r="X110" i="42" s="1"/>
  <c r="H110" i="42"/>
  <c r="D110" i="42"/>
  <c r="B110" i="42"/>
  <c r="Z109" i="42"/>
  <c r="X109" i="42"/>
  <c r="N109" i="42"/>
  <c r="L109" i="42"/>
  <c r="B109" i="42"/>
  <c r="Z108" i="42"/>
  <c r="X108" i="42"/>
  <c r="N108" i="42"/>
  <c r="L108" i="42"/>
  <c r="B108" i="42"/>
  <c r="Z107" i="42"/>
  <c r="X107" i="42"/>
  <c r="N107" i="42"/>
  <c r="L107" i="42"/>
  <c r="B107" i="42"/>
  <c r="Z106" i="42"/>
  <c r="T106" i="42"/>
  <c r="P106" i="42"/>
  <c r="X106" i="42" s="1"/>
  <c r="H106" i="42"/>
  <c r="N106" i="42" s="1"/>
  <c r="D106" i="42"/>
  <c r="L106" i="42" s="1"/>
  <c r="B106" i="42"/>
  <c r="Z105" i="42"/>
  <c r="X105" i="42"/>
  <c r="N105" i="42"/>
  <c r="L105" i="42"/>
  <c r="B105" i="42"/>
  <c r="T104" i="42"/>
  <c r="Z104" i="42" s="1"/>
  <c r="P104" i="42"/>
  <c r="L104" i="42"/>
  <c r="H104" i="42"/>
  <c r="N104" i="42" s="1"/>
  <c r="D104" i="42"/>
  <c r="B104" i="42"/>
  <c r="Z103" i="42"/>
  <c r="X103" i="42"/>
  <c r="L103" i="42"/>
  <c r="N103" i="42" s="1"/>
  <c r="B103" i="42"/>
  <c r="X102" i="42"/>
  <c r="Z102" i="42" s="1"/>
  <c r="L102" i="42"/>
  <c r="N102" i="42" s="1"/>
  <c r="B102" i="42"/>
  <c r="T101" i="42"/>
  <c r="P101" i="42"/>
  <c r="X101" i="42" s="1"/>
  <c r="Z101" i="42" s="1"/>
  <c r="H101" i="42"/>
  <c r="L101" i="42" s="1"/>
  <c r="N101" i="42" s="1"/>
  <c r="D101" i="42"/>
  <c r="B101" i="42"/>
  <c r="Z100" i="42"/>
  <c r="X100" i="42"/>
  <c r="N100" i="42"/>
  <c r="L100" i="42"/>
  <c r="B100" i="42"/>
  <c r="X99" i="42"/>
  <c r="Z99" i="42" s="1"/>
  <c r="N99" i="42"/>
  <c r="L99" i="42"/>
  <c r="B99" i="42"/>
  <c r="Z98" i="42"/>
  <c r="X98" i="42"/>
  <c r="N98" i="42"/>
  <c r="L98" i="42"/>
  <c r="B98" i="42"/>
  <c r="Z97" i="42"/>
  <c r="X97" i="42"/>
  <c r="N97" i="42"/>
  <c r="L97" i="42"/>
  <c r="B97" i="42"/>
  <c r="Z96" i="42"/>
  <c r="X96" i="42"/>
  <c r="N96" i="42"/>
  <c r="L96" i="42"/>
  <c r="B96" i="42"/>
  <c r="X95" i="42"/>
  <c r="Z95" i="42" s="1"/>
  <c r="L95" i="42"/>
  <c r="N95" i="42" s="1"/>
  <c r="B95" i="42"/>
  <c r="X94" i="42"/>
  <c r="Z94" i="42" s="1"/>
  <c r="L94" i="42"/>
  <c r="N94" i="42" s="1"/>
  <c r="B94" i="42"/>
  <c r="Z93" i="42"/>
  <c r="X93" i="42"/>
  <c r="N93" i="42"/>
  <c r="L93" i="42"/>
  <c r="B93" i="42"/>
  <c r="X92" i="42"/>
  <c r="Z92" i="42" s="1"/>
  <c r="L92" i="42"/>
  <c r="N92" i="42" s="1"/>
  <c r="B92" i="42"/>
  <c r="Z91" i="42"/>
  <c r="X91" i="42"/>
  <c r="V91" i="42"/>
  <c r="N91" i="42"/>
  <c r="L91" i="42"/>
  <c r="B91" i="42"/>
  <c r="X90" i="42"/>
  <c r="Z90" i="42" s="1"/>
  <c r="L90" i="42"/>
  <c r="N90" i="42" s="1"/>
  <c r="B90" i="42"/>
  <c r="T89" i="42"/>
  <c r="P89" i="42"/>
  <c r="X89" i="42" s="1"/>
  <c r="Z89" i="42" s="1"/>
  <c r="H89" i="42"/>
  <c r="D89" i="42"/>
  <c r="L89" i="42" s="1"/>
  <c r="N89" i="42" s="1"/>
  <c r="B89" i="42"/>
  <c r="X88" i="42"/>
  <c r="Z88" i="42" s="1"/>
  <c r="N88" i="42"/>
  <c r="L88" i="42"/>
  <c r="B88" i="42"/>
  <c r="X87" i="42"/>
  <c r="Z87" i="42" s="1"/>
  <c r="T87" i="42"/>
  <c r="P87" i="42"/>
  <c r="N87" i="42"/>
  <c r="L87" i="42"/>
  <c r="H87" i="42"/>
  <c r="D87" i="42"/>
  <c r="B87" i="42"/>
  <c r="Z86" i="42"/>
  <c r="X86" i="42"/>
  <c r="N86" i="42"/>
  <c r="L86" i="42"/>
  <c r="B86" i="42"/>
  <c r="Z85" i="42"/>
  <c r="X85" i="42"/>
  <c r="N85" i="42"/>
  <c r="L85" i="42"/>
  <c r="B85" i="42"/>
  <c r="Z84" i="42"/>
  <c r="X84" i="42"/>
  <c r="L84" i="42"/>
  <c r="N84" i="42" s="1"/>
  <c r="B84" i="42"/>
  <c r="Z83" i="42"/>
  <c r="X83" i="42"/>
  <c r="L83" i="42"/>
  <c r="N83" i="42" s="1"/>
  <c r="B83" i="42"/>
  <c r="Z82" i="42"/>
  <c r="X82" i="42"/>
  <c r="L82" i="42"/>
  <c r="N82" i="42" s="1"/>
  <c r="B82" i="42"/>
  <c r="T81" i="42"/>
  <c r="P81" i="42"/>
  <c r="X81" i="42" s="1"/>
  <c r="Z81" i="42" s="1"/>
  <c r="N81" i="42"/>
  <c r="H81" i="42"/>
  <c r="L81" i="42" s="1"/>
  <c r="D81" i="42"/>
  <c r="B81" i="42"/>
  <c r="Z80" i="42"/>
  <c r="X80" i="42"/>
  <c r="V80" i="42"/>
  <c r="N80" i="42"/>
  <c r="L80" i="42"/>
  <c r="B80" i="42"/>
  <c r="Z79" i="42"/>
  <c r="X79" i="42"/>
  <c r="N79" i="42"/>
  <c r="L79" i="42"/>
  <c r="B79" i="42"/>
  <c r="Z78" i="42"/>
  <c r="V78" i="42"/>
  <c r="T78" i="42"/>
  <c r="P78" i="42"/>
  <c r="X78" i="42" s="1"/>
  <c r="H78" i="42"/>
  <c r="N78" i="42" s="1"/>
  <c r="D78" i="42"/>
  <c r="L78" i="42" s="1"/>
  <c r="B78" i="42"/>
  <c r="X77" i="42"/>
  <c r="Z77" i="42" s="1"/>
  <c r="N77" i="42"/>
  <c r="L77" i="42"/>
  <c r="B77" i="42"/>
  <c r="X76" i="42"/>
  <c r="Z76" i="42" s="1"/>
  <c r="N76" i="42"/>
  <c r="L76" i="42"/>
  <c r="B76" i="42"/>
  <c r="Z75" i="42"/>
  <c r="X75" i="42"/>
  <c r="N75" i="42"/>
  <c r="L75" i="42"/>
  <c r="J75" i="42"/>
  <c r="B75" i="42"/>
  <c r="Z74" i="42"/>
  <c r="X74" i="42"/>
  <c r="N74" i="42"/>
  <c r="L74" i="42"/>
  <c r="B74" i="42"/>
  <c r="X73" i="42"/>
  <c r="Z73" i="42" s="1"/>
  <c r="T73" i="42"/>
  <c r="P73" i="42"/>
  <c r="L73" i="42"/>
  <c r="N73" i="42" s="1"/>
  <c r="H73" i="42"/>
  <c r="D73" i="42"/>
  <c r="B73" i="42"/>
  <c r="Z72" i="42"/>
  <c r="X72" i="42"/>
  <c r="L72" i="42"/>
  <c r="N72" i="42" s="1"/>
  <c r="J72" i="42"/>
  <c r="B72" i="42"/>
  <c r="T71" i="42"/>
  <c r="X71" i="42" s="1"/>
  <c r="P71" i="42"/>
  <c r="H71" i="42"/>
  <c r="D71" i="42"/>
  <c r="B71" i="42"/>
  <c r="X70" i="42"/>
  <c r="Z70" i="42" s="1"/>
  <c r="L70" i="42"/>
  <c r="N70" i="42" s="1"/>
  <c r="B70" i="42"/>
  <c r="T69" i="42"/>
  <c r="P69" i="42"/>
  <c r="X69" i="42" s="1"/>
  <c r="Z69" i="42" s="1"/>
  <c r="H69" i="42"/>
  <c r="D69" i="42"/>
  <c r="L69" i="42" s="1"/>
  <c r="B69" i="42"/>
  <c r="X68" i="42"/>
  <c r="Z68" i="42" s="1"/>
  <c r="N68" i="42"/>
  <c r="L68" i="42"/>
  <c r="B68" i="42"/>
  <c r="X67" i="42"/>
  <c r="Z67" i="42" s="1"/>
  <c r="V67" i="42"/>
  <c r="T67" i="42"/>
  <c r="P67" i="42"/>
  <c r="N67" i="42"/>
  <c r="L67" i="42"/>
  <c r="H67" i="42"/>
  <c r="D67" i="42"/>
  <c r="B67" i="42"/>
  <c r="X66" i="42"/>
  <c r="Z66" i="42" s="1"/>
  <c r="N66" i="42"/>
  <c r="L66" i="42"/>
  <c r="J66" i="42"/>
  <c r="B66" i="42"/>
  <c r="T65" i="42"/>
  <c r="P65" i="42"/>
  <c r="H65" i="42"/>
  <c r="L65" i="42" s="1"/>
  <c r="D65" i="42"/>
  <c r="B65" i="42"/>
  <c r="Z64" i="42"/>
  <c r="X64" i="42"/>
  <c r="V64" i="42"/>
  <c r="N64" i="42"/>
  <c r="L64" i="42"/>
  <c r="B64" i="42"/>
  <c r="T63" i="42"/>
  <c r="Z63" i="42" s="1"/>
  <c r="P63" i="42"/>
  <c r="X63" i="42" s="1"/>
  <c r="N63" i="42"/>
  <c r="H63" i="42"/>
  <c r="D63" i="42"/>
  <c r="L63" i="42" s="1"/>
  <c r="B63" i="42"/>
  <c r="X62" i="42"/>
  <c r="Z62" i="42" s="1"/>
  <c r="N62" i="42"/>
  <c r="L62" i="42"/>
  <c r="B62" i="42"/>
  <c r="Z61" i="42"/>
  <c r="X61" i="42"/>
  <c r="T61" i="42"/>
  <c r="P61" i="42"/>
  <c r="L61" i="42"/>
  <c r="N61" i="42" s="1"/>
  <c r="J61" i="42"/>
  <c r="H61" i="42"/>
  <c r="D61" i="42"/>
  <c r="B61" i="42"/>
  <c r="Z60" i="42"/>
  <c r="X60" i="42"/>
  <c r="N60" i="42"/>
  <c r="L60" i="42"/>
  <c r="J60" i="42"/>
  <c r="B60" i="42"/>
  <c r="T59" i="42"/>
  <c r="X59" i="42" s="1"/>
  <c r="P59" i="42"/>
  <c r="H59" i="42"/>
  <c r="N59" i="42" s="1"/>
  <c r="D59" i="42"/>
  <c r="B59" i="42"/>
  <c r="X58" i="42"/>
  <c r="Z58" i="42" s="1"/>
  <c r="L58" i="42"/>
  <c r="N58" i="42" s="1"/>
  <c r="B58" i="42"/>
  <c r="Z57" i="42"/>
  <c r="X57" i="42"/>
  <c r="L57" i="42"/>
  <c r="N57" i="42" s="1"/>
  <c r="B57" i="42"/>
  <c r="Z56" i="42"/>
  <c r="X56" i="42"/>
  <c r="V56" i="42"/>
  <c r="N56" i="42"/>
  <c r="L56" i="42"/>
  <c r="B56" i="42"/>
  <c r="T55" i="42"/>
  <c r="P55" i="42"/>
  <c r="X55" i="42" s="1"/>
  <c r="N55" i="42"/>
  <c r="H55" i="42"/>
  <c r="D55" i="42"/>
  <c r="L55" i="42" s="1"/>
  <c r="B55" i="42"/>
  <c r="X54" i="42"/>
  <c r="Z54" i="42" s="1"/>
  <c r="N54" i="42"/>
  <c r="L54" i="42"/>
  <c r="B54" i="42"/>
  <c r="Z53" i="42"/>
  <c r="X53" i="42"/>
  <c r="T53" i="42"/>
  <c r="P53" i="42"/>
  <c r="L53" i="42"/>
  <c r="J53" i="42"/>
  <c r="H53" i="42"/>
  <c r="N53" i="42" s="1"/>
  <c r="D53" i="42"/>
  <c r="B53" i="42"/>
  <c r="Z52" i="42"/>
  <c r="X52" i="42"/>
  <c r="L52" i="42"/>
  <c r="N52" i="42" s="1"/>
  <c r="J52" i="42"/>
  <c r="B52" i="42"/>
  <c r="Z51" i="42"/>
  <c r="T51" i="42"/>
  <c r="X51" i="42" s="1"/>
  <c r="P51" i="42"/>
  <c r="H51" i="42"/>
  <c r="D51" i="42"/>
  <c r="B51" i="42"/>
  <c r="X50" i="42"/>
  <c r="Z50" i="42" s="1"/>
  <c r="V50" i="42"/>
  <c r="L50" i="42"/>
  <c r="N50" i="42" s="1"/>
  <c r="B50" i="42"/>
  <c r="V49" i="42"/>
  <c r="T49" i="42"/>
  <c r="P49" i="42"/>
  <c r="X49" i="42" s="1"/>
  <c r="Z49" i="42" s="1"/>
  <c r="J49" i="42"/>
  <c r="H49" i="42"/>
  <c r="D49" i="42"/>
  <c r="L49" i="42" s="1"/>
  <c r="B49" i="42"/>
  <c r="Z48" i="42"/>
  <c r="X48" i="42"/>
  <c r="N48" i="42"/>
  <c r="L48" i="42"/>
  <c r="B48" i="42"/>
  <c r="Z47" i="42"/>
  <c r="X47" i="42"/>
  <c r="N47" i="42"/>
  <c r="L47" i="42"/>
  <c r="J47" i="42"/>
  <c r="B47" i="42"/>
  <c r="X46" i="42"/>
  <c r="Z46" i="42" s="1"/>
  <c r="N46" i="42"/>
  <c r="L46" i="42"/>
  <c r="B46" i="42"/>
  <c r="Z45" i="42"/>
  <c r="X45" i="42"/>
  <c r="N45" i="42"/>
  <c r="L45" i="42"/>
  <c r="B45" i="42"/>
  <c r="Z44" i="42"/>
  <c r="X44" i="42"/>
  <c r="N44" i="42"/>
  <c r="L44" i="42"/>
  <c r="B44" i="42"/>
  <c r="X43" i="42"/>
  <c r="Z43" i="42" s="1"/>
  <c r="V43" i="42"/>
  <c r="N43" i="42"/>
  <c r="L43" i="42"/>
  <c r="B43" i="42"/>
  <c r="X42" i="42"/>
  <c r="Z42" i="42" s="1"/>
  <c r="N42" i="42"/>
  <c r="L42" i="42"/>
  <c r="B42" i="42"/>
  <c r="Z41" i="42"/>
  <c r="X41" i="42"/>
  <c r="N41" i="42"/>
  <c r="L41" i="42"/>
  <c r="B41" i="42"/>
  <c r="X40" i="42"/>
  <c r="Z40" i="42" s="1"/>
  <c r="V40" i="42"/>
  <c r="N40" i="42"/>
  <c r="L40" i="42"/>
  <c r="B40" i="42"/>
  <c r="X39" i="42"/>
  <c r="Z39" i="42" s="1"/>
  <c r="V39" i="42"/>
  <c r="N39" i="42"/>
  <c r="L39" i="42"/>
  <c r="J39" i="42"/>
  <c r="B39" i="42"/>
  <c r="T38" i="42"/>
  <c r="P38" i="42"/>
  <c r="X38" i="42" s="1"/>
  <c r="H38" i="42"/>
  <c r="L38" i="42" s="1"/>
  <c r="D38" i="42"/>
  <c r="B38" i="42"/>
  <c r="Z37" i="42"/>
  <c r="X37" i="42"/>
  <c r="N37" i="42"/>
  <c r="L37" i="42"/>
  <c r="J37" i="42"/>
  <c r="B37" i="42"/>
  <c r="Z36" i="42"/>
  <c r="X36" i="42"/>
  <c r="L36" i="42"/>
  <c r="N36" i="42" s="1"/>
  <c r="B36" i="42"/>
  <c r="X35" i="42"/>
  <c r="Z35" i="42" s="1"/>
  <c r="V35" i="42"/>
  <c r="L35" i="42"/>
  <c r="N35" i="42" s="1"/>
  <c r="J35" i="42"/>
  <c r="B35" i="42"/>
  <c r="Z34" i="42"/>
  <c r="X34" i="42"/>
  <c r="N34" i="42"/>
  <c r="L34" i="42"/>
  <c r="B34" i="42"/>
  <c r="Z33" i="42"/>
  <c r="X33" i="42"/>
  <c r="N33" i="42"/>
  <c r="L33" i="42"/>
  <c r="B33" i="42"/>
  <c r="Z32" i="42"/>
  <c r="X32" i="42"/>
  <c r="L32" i="42"/>
  <c r="N32" i="42" s="1"/>
  <c r="J32" i="42"/>
  <c r="B32" i="42"/>
  <c r="Z31" i="42"/>
  <c r="X31" i="42"/>
  <c r="L31" i="42"/>
  <c r="N31" i="42" s="1"/>
  <c r="J31" i="42"/>
  <c r="B31" i="42"/>
  <c r="X30" i="42"/>
  <c r="Z30" i="42" s="1"/>
  <c r="L30" i="42"/>
  <c r="N30" i="42" s="1"/>
  <c r="J30" i="42"/>
  <c r="B30" i="42"/>
  <c r="Z29" i="42"/>
  <c r="X29" i="42"/>
  <c r="N29" i="42"/>
  <c r="L29" i="42"/>
  <c r="B29" i="42"/>
  <c r="T28" i="42"/>
  <c r="Z28" i="42" s="1"/>
  <c r="P28" i="42"/>
  <c r="X28" i="42" s="1"/>
  <c r="H28" i="42"/>
  <c r="D28" i="42"/>
  <c r="L28" i="42" s="1"/>
  <c r="B28" i="42"/>
  <c r="T27" i="42"/>
  <c r="P27" i="42"/>
  <c r="X27" i="42" s="1"/>
  <c r="H27" i="42"/>
  <c r="J27" i="42" s="1"/>
  <c r="D27" i="42"/>
  <c r="Z23" i="42"/>
  <c r="X23" i="42"/>
  <c r="V23" i="42"/>
  <c r="N23" i="42"/>
  <c r="L23" i="42"/>
  <c r="B23" i="42"/>
  <c r="Z22" i="42"/>
  <c r="X22" i="42"/>
  <c r="N22" i="42"/>
  <c r="L22" i="42"/>
  <c r="J22" i="42"/>
  <c r="B22" i="42"/>
  <c r="Z21" i="42"/>
  <c r="X21" i="42"/>
  <c r="V21" i="42"/>
  <c r="N21" i="42"/>
  <c r="L21" i="42"/>
  <c r="B21" i="42"/>
  <c r="V20" i="42"/>
  <c r="T20" i="42"/>
  <c r="P20" i="42"/>
  <c r="X20" i="42" s="1"/>
  <c r="Z20" i="42" s="1"/>
  <c r="N20" i="42"/>
  <c r="L20" i="42"/>
  <c r="H20" i="42"/>
  <c r="D20" i="42"/>
  <c r="Z18" i="42"/>
  <c r="P18" i="42"/>
  <c r="X18" i="42" s="1"/>
  <c r="N18" i="42"/>
  <c r="D18" i="42"/>
  <c r="L18" i="42" s="1"/>
  <c r="B18" i="42"/>
  <c r="X17" i="42"/>
  <c r="Z17" i="42" s="1"/>
  <c r="P17" i="42"/>
  <c r="L17" i="42"/>
  <c r="N17" i="42" s="1"/>
  <c r="D17" i="42"/>
  <c r="B17" i="42"/>
  <c r="Z16" i="42"/>
  <c r="X16" i="42"/>
  <c r="P16" i="42"/>
  <c r="N16" i="42"/>
  <c r="D16" i="42"/>
  <c r="L16" i="42" s="1"/>
  <c r="B16" i="42"/>
  <c r="Z15" i="42"/>
  <c r="P15" i="42"/>
  <c r="X15" i="42" s="1"/>
  <c r="N15" i="42"/>
  <c r="D15" i="42"/>
  <c r="L15" i="42" s="1"/>
  <c r="B15" i="42"/>
  <c r="Z14" i="42"/>
  <c r="X14" i="42"/>
  <c r="P14" i="42"/>
  <c r="N14" i="42"/>
  <c r="L14" i="42"/>
  <c r="D14" i="42"/>
  <c r="B14" i="42"/>
  <c r="X13" i="42"/>
  <c r="Z13" i="42" s="1"/>
  <c r="P13" i="42"/>
  <c r="L13" i="42"/>
  <c r="N13" i="42" s="1"/>
  <c r="D13" i="42"/>
  <c r="B13" i="42"/>
  <c r="T12" i="42"/>
  <c r="V95" i="42" s="1"/>
  <c r="H12" i="42"/>
  <c r="D4" i="42"/>
  <c r="X125" i="39"/>
  <c r="Z125" i="39" s="1"/>
  <c r="N125" i="39"/>
  <c r="L125" i="39"/>
  <c r="Z121" i="39"/>
  <c r="X121" i="39"/>
  <c r="P121" i="39"/>
  <c r="N121" i="39"/>
  <c r="L121" i="39"/>
  <c r="D121" i="39"/>
  <c r="B121" i="39"/>
  <c r="P120" i="39"/>
  <c r="X120" i="39" s="1"/>
  <c r="Z120" i="39" s="1"/>
  <c r="L120" i="39"/>
  <c r="N120" i="39" s="1"/>
  <c r="D120" i="39"/>
  <c r="B120" i="39"/>
  <c r="X119" i="39"/>
  <c r="Z119" i="39" s="1"/>
  <c r="P119" i="39"/>
  <c r="P117" i="39" s="1"/>
  <c r="J119" i="39"/>
  <c r="D119" i="39"/>
  <c r="L119" i="39" s="1"/>
  <c r="N119" i="39" s="1"/>
  <c r="B119" i="39"/>
  <c r="P118" i="39"/>
  <c r="X118" i="39" s="1"/>
  <c r="Z118" i="39" s="1"/>
  <c r="N118" i="39"/>
  <c r="L118" i="39"/>
  <c r="D118" i="39"/>
  <c r="B118" i="39"/>
  <c r="T117" i="39"/>
  <c r="H117" i="39"/>
  <c r="L117" i="39" s="1"/>
  <c r="N117" i="39" s="1"/>
  <c r="D117" i="39"/>
  <c r="Z115" i="39"/>
  <c r="X115" i="39"/>
  <c r="L115" i="39"/>
  <c r="N115" i="39" s="1"/>
  <c r="J115" i="39"/>
  <c r="B115" i="39"/>
  <c r="T114" i="39"/>
  <c r="P114" i="39"/>
  <c r="X114" i="39" s="1"/>
  <c r="Z114" i="39" s="1"/>
  <c r="N114" i="39"/>
  <c r="H114" i="39"/>
  <c r="D114" i="39"/>
  <c r="L114" i="39" s="1"/>
  <c r="B114" i="39"/>
  <c r="Z113" i="39"/>
  <c r="X113" i="39"/>
  <c r="N113" i="39"/>
  <c r="L113" i="39"/>
  <c r="B113" i="39"/>
  <c r="Z112" i="39"/>
  <c r="X112" i="39"/>
  <c r="N112" i="39"/>
  <c r="L112" i="39"/>
  <c r="B112" i="39"/>
  <c r="X111" i="39"/>
  <c r="Z111" i="39" s="1"/>
  <c r="N111" i="39"/>
  <c r="L111" i="39"/>
  <c r="B111" i="39"/>
  <c r="T110" i="39"/>
  <c r="P110" i="39"/>
  <c r="X110" i="39" s="1"/>
  <c r="N110" i="39"/>
  <c r="J110" i="39"/>
  <c r="H110" i="39"/>
  <c r="D110" i="39"/>
  <c r="L110" i="39" s="1"/>
  <c r="B110" i="39"/>
  <c r="X109" i="39"/>
  <c r="Z109" i="39" s="1"/>
  <c r="N109" i="39"/>
  <c r="L109" i="39"/>
  <c r="B109" i="39"/>
  <c r="Z108" i="39"/>
  <c r="X108" i="39"/>
  <c r="T108" i="39"/>
  <c r="P108" i="39"/>
  <c r="N108" i="39"/>
  <c r="L108" i="39"/>
  <c r="H108" i="39"/>
  <c r="D108" i="39"/>
  <c r="B108" i="39"/>
  <c r="Z107" i="39"/>
  <c r="X107" i="39"/>
  <c r="L107" i="39"/>
  <c r="N107" i="39" s="1"/>
  <c r="J107" i="39"/>
  <c r="B107" i="39"/>
  <c r="Z106" i="39"/>
  <c r="X106" i="39"/>
  <c r="L106" i="39"/>
  <c r="N106" i="39" s="1"/>
  <c r="J106" i="39"/>
  <c r="B106" i="39"/>
  <c r="T105" i="39"/>
  <c r="X105" i="39" s="1"/>
  <c r="Z105" i="39" s="1"/>
  <c r="P105" i="39"/>
  <c r="H105" i="39"/>
  <c r="D105" i="39"/>
  <c r="B105" i="39"/>
  <c r="Z104" i="39"/>
  <c r="X104" i="39"/>
  <c r="N104" i="39"/>
  <c r="L104" i="39"/>
  <c r="B104" i="39"/>
  <c r="X103" i="39"/>
  <c r="Z103" i="39" s="1"/>
  <c r="L103" i="39"/>
  <c r="N103" i="39" s="1"/>
  <c r="B103" i="39"/>
  <c r="Z102" i="39"/>
  <c r="X102" i="39"/>
  <c r="N102" i="39"/>
  <c r="L102" i="39"/>
  <c r="B102" i="39"/>
  <c r="Z101" i="39"/>
  <c r="X101" i="39"/>
  <c r="N101" i="39"/>
  <c r="L101" i="39"/>
  <c r="B101" i="39"/>
  <c r="Z100" i="39"/>
  <c r="X100" i="39"/>
  <c r="N100" i="39"/>
  <c r="L100" i="39"/>
  <c r="B100" i="39"/>
  <c r="X99" i="39"/>
  <c r="Z99" i="39" s="1"/>
  <c r="L99" i="39"/>
  <c r="N99" i="39" s="1"/>
  <c r="B99" i="39"/>
  <c r="X98" i="39"/>
  <c r="Z98" i="39" s="1"/>
  <c r="V98" i="39"/>
  <c r="L98" i="39"/>
  <c r="N98" i="39" s="1"/>
  <c r="B98" i="39"/>
  <c r="X97" i="39"/>
  <c r="Z97" i="39" s="1"/>
  <c r="L97" i="39"/>
  <c r="N97" i="39" s="1"/>
  <c r="B97" i="39"/>
  <c r="Z96" i="39"/>
  <c r="X96" i="39"/>
  <c r="N96" i="39"/>
  <c r="L96" i="39"/>
  <c r="B96" i="39"/>
  <c r="X95" i="39"/>
  <c r="Z95" i="39" s="1"/>
  <c r="L95" i="39"/>
  <c r="N95" i="39" s="1"/>
  <c r="B95" i="39"/>
  <c r="X94" i="39"/>
  <c r="Z94" i="39" s="1"/>
  <c r="L94" i="39"/>
  <c r="N94" i="39" s="1"/>
  <c r="B94" i="39"/>
  <c r="T93" i="39"/>
  <c r="P93" i="39"/>
  <c r="X93" i="39" s="1"/>
  <c r="Z93" i="39" s="1"/>
  <c r="J93" i="39"/>
  <c r="H93" i="39"/>
  <c r="D93" i="39"/>
  <c r="L93" i="39" s="1"/>
  <c r="B93" i="39"/>
  <c r="Z92" i="39"/>
  <c r="X92" i="39"/>
  <c r="N92" i="39"/>
  <c r="L92" i="39"/>
  <c r="B92" i="39"/>
  <c r="X91" i="39"/>
  <c r="T91" i="39"/>
  <c r="Z91" i="39" s="1"/>
  <c r="P91" i="39"/>
  <c r="L91" i="39"/>
  <c r="H91" i="39"/>
  <c r="D91" i="39"/>
  <c r="B91" i="39"/>
  <c r="Z90" i="39"/>
  <c r="X90" i="39"/>
  <c r="L90" i="39"/>
  <c r="N90" i="39" s="1"/>
  <c r="J90" i="39"/>
  <c r="B90" i="39"/>
  <c r="Z89" i="39"/>
  <c r="X89" i="39"/>
  <c r="L89" i="39"/>
  <c r="N89" i="39" s="1"/>
  <c r="B89" i="39"/>
  <c r="Z88" i="39"/>
  <c r="X88" i="39"/>
  <c r="N88" i="39"/>
  <c r="L88" i="39"/>
  <c r="J88" i="39"/>
  <c r="B88" i="39"/>
  <c r="Z87" i="39"/>
  <c r="X87" i="39"/>
  <c r="L87" i="39"/>
  <c r="N87" i="39" s="1"/>
  <c r="J87" i="39"/>
  <c r="B87" i="39"/>
  <c r="Z86" i="39"/>
  <c r="X86" i="39"/>
  <c r="L86" i="39"/>
  <c r="N86" i="39" s="1"/>
  <c r="J86" i="39"/>
  <c r="B86" i="39"/>
  <c r="T85" i="39"/>
  <c r="P85" i="39"/>
  <c r="H85" i="39"/>
  <c r="D85" i="39"/>
  <c r="L85" i="39" s="1"/>
  <c r="B85" i="39"/>
  <c r="Z84" i="39"/>
  <c r="X84" i="39"/>
  <c r="N84" i="39"/>
  <c r="L84" i="39"/>
  <c r="B84" i="39"/>
  <c r="Z83" i="39"/>
  <c r="X83" i="39"/>
  <c r="N83" i="39"/>
  <c r="L83" i="39"/>
  <c r="B83" i="39"/>
  <c r="V82" i="39"/>
  <c r="T82" i="39"/>
  <c r="P82" i="39"/>
  <c r="X82" i="39" s="1"/>
  <c r="J82" i="39"/>
  <c r="H82" i="39"/>
  <c r="D82" i="39"/>
  <c r="L82" i="39" s="1"/>
  <c r="N82" i="39" s="1"/>
  <c r="B82" i="39"/>
  <c r="X81" i="39"/>
  <c r="Z81" i="39" s="1"/>
  <c r="N81" i="39"/>
  <c r="L81" i="39"/>
  <c r="B81" i="39"/>
  <c r="Z80" i="39"/>
  <c r="X80" i="39"/>
  <c r="N80" i="39"/>
  <c r="L80" i="39"/>
  <c r="B80" i="39"/>
  <c r="X79" i="39"/>
  <c r="Z79" i="39" s="1"/>
  <c r="N79" i="39"/>
  <c r="L79" i="39"/>
  <c r="B79" i="39"/>
  <c r="X78" i="39"/>
  <c r="Z78" i="39" s="1"/>
  <c r="N78" i="39"/>
  <c r="L78" i="39"/>
  <c r="B78" i="39"/>
  <c r="X77" i="39"/>
  <c r="T77" i="39"/>
  <c r="Z77" i="39" s="1"/>
  <c r="P77" i="39"/>
  <c r="L77" i="39"/>
  <c r="H77" i="39"/>
  <c r="N77" i="39" s="1"/>
  <c r="D77" i="39"/>
  <c r="B77" i="39"/>
  <c r="Z76" i="39"/>
  <c r="X76" i="39"/>
  <c r="N76" i="39"/>
  <c r="L76" i="39"/>
  <c r="J76" i="39"/>
  <c r="B76" i="39"/>
  <c r="T75" i="39"/>
  <c r="P75" i="39"/>
  <c r="X75" i="39" s="1"/>
  <c r="H75" i="39"/>
  <c r="D75" i="39"/>
  <c r="B75" i="39"/>
  <c r="X74" i="39"/>
  <c r="Z74" i="39" s="1"/>
  <c r="V74" i="39"/>
  <c r="L74" i="39"/>
  <c r="N74" i="39" s="1"/>
  <c r="J74" i="39"/>
  <c r="B74" i="39"/>
  <c r="T73" i="39"/>
  <c r="Z73" i="39" s="1"/>
  <c r="P73" i="39"/>
  <c r="X73" i="39" s="1"/>
  <c r="J73" i="39"/>
  <c r="H73" i="39"/>
  <c r="N73" i="39" s="1"/>
  <c r="D73" i="39"/>
  <c r="L73" i="39" s="1"/>
  <c r="B73" i="39"/>
  <c r="Z72" i="39"/>
  <c r="X72" i="39"/>
  <c r="N72" i="39"/>
  <c r="L72" i="39"/>
  <c r="B72" i="39"/>
  <c r="X71" i="39"/>
  <c r="T71" i="39"/>
  <c r="Z71" i="39" s="1"/>
  <c r="P71" i="39"/>
  <c r="L71" i="39"/>
  <c r="H71" i="39"/>
  <c r="N71" i="39" s="1"/>
  <c r="D71" i="39"/>
  <c r="B71" i="39"/>
  <c r="Z70" i="39"/>
  <c r="X70" i="39"/>
  <c r="N70" i="39"/>
  <c r="L70" i="39"/>
  <c r="J70" i="39"/>
  <c r="B70" i="39"/>
  <c r="T69" i="39"/>
  <c r="P69" i="39"/>
  <c r="H69" i="39"/>
  <c r="N69" i="39" s="1"/>
  <c r="D69" i="39"/>
  <c r="L69" i="39" s="1"/>
  <c r="B69" i="39"/>
  <c r="Z68" i="39"/>
  <c r="X68" i="39"/>
  <c r="N68" i="39"/>
  <c r="L68" i="39"/>
  <c r="B68" i="39"/>
  <c r="Z67" i="39"/>
  <c r="X67" i="39"/>
  <c r="N67" i="39"/>
  <c r="L67" i="39"/>
  <c r="B67" i="39"/>
  <c r="Z66" i="39"/>
  <c r="T66" i="39"/>
  <c r="P66" i="39"/>
  <c r="X66" i="39" s="1"/>
  <c r="N66" i="39"/>
  <c r="J66" i="39"/>
  <c r="H66" i="39"/>
  <c r="D66" i="39"/>
  <c r="L66" i="39" s="1"/>
  <c r="B66" i="39"/>
  <c r="X65" i="39"/>
  <c r="Z65" i="39" s="1"/>
  <c r="N65" i="39"/>
  <c r="L65" i="39"/>
  <c r="B65" i="39"/>
  <c r="Z64" i="39"/>
  <c r="X64" i="39"/>
  <c r="T64" i="39"/>
  <c r="P64" i="39"/>
  <c r="L64" i="39"/>
  <c r="N64" i="39" s="1"/>
  <c r="J64" i="39"/>
  <c r="H64" i="39"/>
  <c r="D64" i="39"/>
  <c r="B64" i="39"/>
  <c r="Z63" i="39"/>
  <c r="X63" i="39"/>
  <c r="N63" i="39"/>
  <c r="L63" i="39"/>
  <c r="J63" i="39"/>
  <c r="B63" i="39"/>
  <c r="Z62" i="39"/>
  <c r="T62" i="39"/>
  <c r="X62" i="39" s="1"/>
  <c r="P62" i="39"/>
  <c r="N62" i="39"/>
  <c r="H62" i="39"/>
  <c r="D62" i="39"/>
  <c r="L62" i="39" s="1"/>
  <c r="B62" i="39"/>
  <c r="X61" i="39"/>
  <c r="Z61" i="39" s="1"/>
  <c r="L61" i="39"/>
  <c r="N61" i="39" s="1"/>
  <c r="B61" i="39"/>
  <c r="Z60" i="39"/>
  <c r="X60" i="39"/>
  <c r="N60" i="39"/>
  <c r="L60" i="39"/>
  <c r="B60" i="39"/>
  <c r="Z59" i="39"/>
  <c r="X59" i="39"/>
  <c r="N59" i="39"/>
  <c r="L59" i="39"/>
  <c r="B59" i="39"/>
  <c r="V58" i="39"/>
  <c r="T58" i="39"/>
  <c r="P58" i="39"/>
  <c r="X58" i="39" s="1"/>
  <c r="Z58" i="39" s="1"/>
  <c r="J58" i="39"/>
  <c r="H58" i="39"/>
  <c r="D58" i="39"/>
  <c r="L58" i="39" s="1"/>
  <c r="N58" i="39" s="1"/>
  <c r="B58" i="39"/>
  <c r="X57" i="39"/>
  <c r="Z57" i="39" s="1"/>
  <c r="N57" i="39"/>
  <c r="L57" i="39"/>
  <c r="B57" i="39"/>
  <c r="Z56" i="39"/>
  <c r="X56" i="39"/>
  <c r="T56" i="39"/>
  <c r="P56" i="39"/>
  <c r="L56" i="39"/>
  <c r="N56" i="39" s="1"/>
  <c r="J56" i="39"/>
  <c r="H56" i="39"/>
  <c r="D56" i="39"/>
  <c r="B56" i="39"/>
  <c r="Z55" i="39"/>
  <c r="X55" i="39"/>
  <c r="L55" i="39"/>
  <c r="N55" i="39" s="1"/>
  <c r="J55" i="39"/>
  <c r="B55" i="39"/>
  <c r="T54" i="39"/>
  <c r="X54" i="39" s="1"/>
  <c r="Z54" i="39" s="1"/>
  <c r="P54" i="39"/>
  <c r="H54" i="39"/>
  <c r="D54" i="39"/>
  <c r="L54" i="39" s="1"/>
  <c r="N54" i="39" s="1"/>
  <c r="B54" i="39"/>
  <c r="X53" i="39"/>
  <c r="Z53" i="39" s="1"/>
  <c r="L53" i="39"/>
  <c r="N53" i="39" s="1"/>
  <c r="B53" i="39"/>
  <c r="T52" i="39"/>
  <c r="P52" i="39"/>
  <c r="X52" i="39" s="1"/>
  <c r="Z52" i="39" s="1"/>
  <c r="J52" i="39"/>
  <c r="H52" i="39"/>
  <c r="D52" i="39"/>
  <c r="L52" i="39" s="1"/>
  <c r="N52" i="39" s="1"/>
  <c r="B52" i="39"/>
  <c r="Z51" i="39"/>
  <c r="X51" i="39"/>
  <c r="N51" i="39"/>
  <c r="L51" i="39"/>
  <c r="B51" i="39"/>
  <c r="Z50" i="39"/>
  <c r="X50" i="39"/>
  <c r="N50" i="39"/>
  <c r="L50" i="39"/>
  <c r="B50" i="39"/>
  <c r="X49" i="39"/>
  <c r="Z49" i="39" s="1"/>
  <c r="N49" i="39"/>
  <c r="L49" i="39"/>
  <c r="B49" i="39"/>
  <c r="Z48" i="39"/>
  <c r="X48" i="39"/>
  <c r="N48" i="39"/>
  <c r="L48" i="39"/>
  <c r="B48" i="39"/>
  <c r="Z47" i="39"/>
  <c r="X47" i="39"/>
  <c r="N47" i="39"/>
  <c r="L47" i="39"/>
  <c r="B47" i="39"/>
  <c r="X46" i="39"/>
  <c r="Z46" i="39" s="1"/>
  <c r="N46" i="39"/>
  <c r="L46" i="39"/>
  <c r="J46" i="39"/>
  <c r="B46" i="39"/>
  <c r="X45" i="39"/>
  <c r="Z45" i="39" s="1"/>
  <c r="N45" i="39"/>
  <c r="L45" i="39"/>
  <c r="B45" i="39"/>
  <c r="Z44" i="39"/>
  <c r="X44" i="39"/>
  <c r="N44" i="39"/>
  <c r="L44" i="39"/>
  <c r="B44" i="39"/>
  <c r="X43" i="39"/>
  <c r="Z43" i="39" s="1"/>
  <c r="N43" i="39"/>
  <c r="L43" i="39"/>
  <c r="B43" i="39"/>
  <c r="X42" i="39"/>
  <c r="Z42" i="39" s="1"/>
  <c r="N42" i="39"/>
  <c r="L42" i="39"/>
  <c r="J42" i="39"/>
  <c r="B42" i="39"/>
  <c r="X41" i="39"/>
  <c r="T41" i="39"/>
  <c r="Z41" i="39" s="1"/>
  <c r="P41" i="39"/>
  <c r="L41" i="39"/>
  <c r="H41" i="39"/>
  <c r="N41" i="39" s="1"/>
  <c r="D41" i="39"/>
  <c r="B41" i="39"/>
  <c r="Z40" i="39"/>
  <c r="X40" i="39"/>
  <c r="N40" i="39"/>
  <c r="L40" i="39"/>
  <c r="J40" i="39"/>
  <c r="B40" i="39"/>
  <c r="Z39" i="39"/>
  <c r="X39" i="39"/>
  <c r="L39" i="39"/>
  <c r="N39" i="39" s="1"/>
  <c r="J39" i="39"/>
  <c r="B39" i="39"/>
  <c r="Z38" i="39"/>
  <c r="X38" i="39"/>
  <c r="N38" i="39"/>
  <c r="L38" i="39"/>
  <c r="J38" i="39"/>
  <c r="B38" i="39"/>
  <c r="Z37" i="39"/>
  <c r="X37" i="39"/>
  <c r="N37" i="39"/>
  <c r="L37" i="39"/>
  <c r="B37" i="39"/>
  <c r="Z36" i="39"/>
  <c r="X36" i="39"/>
  <c r="N36" i="39"/>
  <c r="L36" i="39"/>
  <c r="J36" i="39"/>
  <c r="B36" i="39"/>
  <c r="Z35" i="39"/>
  <c r="X35" i="39"/>
  <c r="L35" i="39"/>
  <c r="N35" i="39" s="1"/>
  <c r="J35" i="39"/>
  <c r="B35" i="39"/>
  <c r="Z34" i="39"/>
  <c r="X34" i="39"/>
  <c r="L34" i="39"/>
  <c r="N34" i="39" s="1"/>
  <c r="J34" i="39"/>
  <c r="B34" i="39"/>
  <c r="Z33" i="39"/>
  <c r="X33" i="39"/>
  <c r="L33" i="39"/>
  <c r="N33" i="39" s="1"/>
  <c r="B33" i="39"/>
  <c r="Z32" i="39"/>
  <c r="X32" i="39"/>
  <c r="N32" i="39"/>
  <c r="L32" i="39"/>
  <c r="J32" i="39"/>
  <c r="B32" i="39"/>
  <c r="T31" i="39"/>
  <c r="P31" i="39"/>
  <c r="X31" i="39" s="1"/>
  <c r="H31" i="39"/>
  <c r="D31" i="39"/>
  <c r="B31" i="39"/>
  <c r="T30" i="39"/>
  <c r="P30" i="39"/>
  <c r="X30" i="39" s="1"/>
  <c r="H30" i="39"/>
  <c r="J30" i="39" s="1"/>
  <c r="D30" i="39"/>
  <c r="L30" i="39" s="1"/>
  <c r="N30" i="39" s="1"/>
  <c r="J28" i="39"/>
  <c r="H28" i="39"/>
  <c r="Z26" i="39"/>
  <c r="X26" i="39"/>
  <c r="N26" i="39"/>
  <c r="L26" i="39"/>
  <c r="J26" i="39"/>
  <c r="B26" i="39"/>
  <c r="Z25" i="39"/>
  <c r="X25" i="39"/>
  <c r="N25" i="39"/>
  <c r="L25" i="39"/>
  <c r="J25" i="39"/>
  <c r="B25" i="39"/>
  <c r="Z24" i="39"/>
  <c r="X24" i="39"/>
  <c r="N24" i="39"/>
  <c r="L24" i="39"/>
  <c r="B24" i="39"/>
  <c r="V23" i="39"/>
  <c r="T23" i="39"/>
  <c r="Z23" i="39" s="1"/>
  <c r="P23" i="39"/>
  <c r="X23" i="39" s="1"/>
  <c r="J23" i="39"/>
  <c r="H23" i="39"/>
  <c r="D23" i="39"/>
  <c r="L23" i="39" s="1"/>
  <c r="N23" i="39" s="1"/>
  <c r="Z21" i="39"/>
  <c r="P21" i="39"/>
  <c r="X21" i="39" s="1"/>
  <c r="N21" i="39"/>
  <c r="D21" i="39"/>
  <c r="L21" i="39" s="1"/>
  <c r="B21" i="39"/>
  <c r="Z20" i="39"/>
  <c r="X20" i="39"/>
  <c r="P20" i="39"/>
  <c r="N20" i="39"/>
  <c r="L20" i="39"/>
  <c r="D20" i="39"/>
  <c r="B20" i="39"/>
  <c r="Z19" i="39"/>
  <c r="X19" i="39"/>
  <c r="P19" i="39"/>
  <c r="N19" i="39"/>
  <c r="D19" i="39"/>
  <c r="L19" i="39" s="1"/>
  <c r="B19" i="39"/>
  <c r="P18" i="39"/>
  <c r="X18" i="39" s="1"/>
  <c r="Z18" i="39" s="1"/>
  <c r="D18" i="39"/>
  <c r="L18" i="39" s="1"/>
  <c r="N18" i="39" s="1"/>
  <c r="B18" i="39"/>
  <c r="Z17" i="39"/>
  <c r="X17" i="39"/>
  <c r="P17" i="39"/>
  <c r="N17" i="39"/>
  <c r="L17" i="39"/>
  <c r="D17" i="39"/>
  <c r="B17" i="39"/>
  <c r="Z16" i="39"/>
  <c r="P16" i="39"/>
  <c r="X16" i="39" s="1"/>
  <c r="N16" i="39"/>
  <c r="L16" i="39"/>
  <c r="D16" i="39"/>
  <c r="B16" i="39"/>
  <c r="Z15" i="39"/>
  <c r="P15" i="39"/>
  <c r="X15" i="39" s="1"/>
  <c r="N15" i="39"/>
  <c r="D15" i="39"/>
  <c r="L15" i="39" s="1"/>
  <c r="B15" i="39"/>
  <c r="Z14" i="39"/>
  <c r="X14" i="39"/>
  <c r="P14" i="39"/>
  <c r="N14" i="39"/>
  <c r="L14" i="39"/>
  <c r="D14" i="39"/>
  <c r="B14" i="39"/>
  <c r="P13" i="39"/>
  <c r="X13" i="39" s="1"/>
  <c r="Z13" i="39" s="1"/>
  <c r="D13" i="39"/>
  <c r="B13" i="39"/>
  <c r="T12" i="39"/>
  <c r="V66" i="39" s="1"/>
  <c r="H12" i="39"/>
  <c r="J114" i="39" s="1"/>
  <c r="D4" i="39"/>
  <c r="X129" i="36"/>
  <c r="Z129" i="36" s="1"/>
  <c r="L129" i="36"/>
  <c r="N129" i="36" s="1"/>
  <c r="Z125" i="36"/>
  <c r="P125" i="36"/>
  <c r="X125" i="36" s="1"/>
  <c r="N125" i="36"/>
  <c r="D125" i="36"/>
  <c r="L125" i="36" s="1"/>
  <c r="B125" i="36"/>
  <c r="P124" i="36"/>
  <c r="X124" i="36" s="1"/>
  <c r="Z124" i="36" s="1"/>
  <c r="L124" i="36"/>
  <c r="N124" i="36" s="1"/>
  <c r="D124" i="36"/>
  <c r="B124" i="36"/>
  <c r="P123" i="36"/>
  <c r="X123" i="36" s="1"/>
  <c r="Z123" i="36" s="1"/>
  <c r="D123" i="36"/>
  <c r="L123" i="36" s="1"/>
  <c r="N123" i="36" s="1"/>
  <c r="B123" i="36"/>
  <c r="P122" i="36"/>
  <c r="X122" i="36" s="1"/>
  <c r="Z122" i="36" s="1"/>
  <c r="L122" i="36"/>
  <c r="N122" i="36" s="1"/>
  <c r="D122" i="36"/>
  <c r="B122" i="36"/>
  <c r="T121" i="36"/>
  <c r="H121" i="36"/>
  <c r="D121" i="36"/>
  <c r="L121" i="36" s="1"/>
  <c r="X119" i="36"/>
  <c r="Z119" i="36" s="1"/>
  <c r="L119" i="36"/>
  <c r="N119" i="36" s="1"/>
  <c r="B119" i="36"/>
  <c r="Z118" i="36"/>
  <c r="T118" i="36"/>
  <c r="P118" i="36"/>
  <c r="X118" i="36" s="1"/>
  <c r="H118" i="36"/>
  <c r="N118" i="36" s="1"/>
  <c r="D118" i="36"/>
  <c r="L118" i="36" s="1"/>
  <c r="B118" i="36"/>
  <c r="Z117" i="36"/>
  <c r="X117" i="36"/>
  <c r="N117" i="36"/>
  <c r="L117" i="36"/>
  <c r="B117" i="36"/>
  <c r="Z116" i="36"/>
  <c r="X116" i="36"/>
  <c r="N116" i="36"/>
  <c r="L116" i="36"/>
  <c r="B116" i="36"/>
  <c r="X115" i="36"/>
  <c r="Z115" i="36" s="1"/>
  <c r="L115" i="36"/>
  <c r="N115" i="36" s="1"/>
  <c r="B115" i="36"/>
  <c r="Z114" i="36"/>
  <c r="X114" i="36"/>
  <c r="T114" i="36"/>
  <c r="P114" i="36"/>
  <c r="L114" i="36"/>
  <c r="N114" i="36" s="1"/>
  <c r="H114" i="36"/>
  <c r="D114" i="36"/>
  <c r="B114" i="36"/>
  <c r="Z113" i="36"/>
  <c r="X113" i="36"/>
  <c r="N113" i="36"/>
  <c r="L113" i="36"/>
  <c r="J113" i="36"/>
  <c r="B113" i="36"/>
  <c r="Z112" i="36"/>
  <c r="T112" i="36"/>
  <c r="X112" i="36" s="1"/>
  <c r="P112" i="36"/>
  <c r="H112" i="36"/>
  <c r="L112" i="36" s="1"/>
  <c r="D112" i="36"/>
  <c r="B112" i="36"/>
  <c r="X111" i="36"/>
  <c r="Z111" i="36" s="1"/>
  <c r="L111" i="36"/>
  <c r="N111" i="36" s="1"/>
  <c r="B111" i="36"/>
  <c r="Z110" i="36"/>
  <c r="X110" i="36"/>
  <c r="N110" i="36"/>
  <c r="L110" i="36"/>
  <c r="B110" i="36"/>
  <c r="T109" i="36"/>
  <c r="P109" i="36"/>
  <c r="H109" i="36"/>
  <c r="D109" i="36"/>
  <c r="L109" i="36" s="1"/>
  <c r="N109" i="36" s="1"/>
  <c r="B109" i="36"/>
  <c r="X108" i="36"/>
  <c r="Z108" i="36" s="1"/>
  <c r="N108" i="36"/>
  <c r="L108" i="36"/>
  <c r="B108" i="36"/>
  <c r="X107" i="36"/>
  <c r="Z107" i="36" s="1"/>
  <c r="N107" i="36"/>
  <c r="L107" i="36"/>
  <c r="B107" i="36"/>
  <c r="Z106" i="36"/>
  <c r="X106" i="36"/>
  <c r="N106" i="36"/>
  <c r="L106" i="36"/>
  <c r="B106" i="36"/>
  <c r="X105" i="36"/>
  <c r="Z105" i="36" s="1"/>
  <c r="N105" i="36"/>
  <c r="L105" i="36"/>
  <c r="B105" i="36"/>
  <c r="X104" i="36"/>
  <c r="Z104" i="36" s="1"/>
  <c r="N104" i="36"/>
  <c r="L104" i="36"/>
  <c r="B104" i="36"/>
  <c r="X103" i="36"/>
  <c r="Z103" i="36" s="1"/>
  <c r="N103" i="36"/>
  <c r="L103" i="36"/>
  <c r="B103" i="36"/>
  <c r="Z102" i="36"/>
  <c r="X102" i="36"/>
  <c r="N102" i="36"/>
  <c r="L102" i="36"/>
  <c r="B102" i="36"/>
  <c r="X101" i="36"/>
  <c r="Z101" i="36" s="1"/>
  <c r="N101" i="36"/>
  <c r="L101" i="36"/>
  <c r="B101" i="36"/>
  <c r="X100" i="36"/>
  <c r="Z100" i="36" s="1"/>
  <c r="N100" i="36"/>
  <c r="L100" i="36"/>
  <c r="B100" i="36"/>
  <c r="X99" i="36"/>
  <c r="Z99" i="36" s="1"/>
  <c r="N99" i="36"/>
  <c r="L99" i="36"/>
  <c r="B99" i="36"/>
  <c r="Z98" i="36"/>
  <c r="X98" i="36"/>
  <c r="N98" i="36"/>
  <c r="L98" i="36"/>
  <c r="B98" i="36"/>
  <c r="X97" i="36"/>
  <c r="T97" i="36"/>
  <c r="P97" i="36"/>
  <c r="L97" i="36"/>
  <c r="H97" i="36"/>
  <c r="D97" i="36"/>
  <c r="B97" i="36"/>
  <c r="Z96" i="36"/>
  <c r="X96" i="36"/>
  <c r="N96" i="36"/>
  <c r="L96" i="36"/>
  <c r="J96" i="36"/>
  <c r="B96" i="36"/>
  <c r="Z95" i="36"/>
  <c r="X95" i="36"/>
  <c r="N95" i="36"/>
  <c r="L95" i="36"/>
  <c r="B95" i="36"/>
  <c r="Z94" i="36"/>
  <c r="T94" i="36"/>
  <c r="X94" i="36" s="1"/>
  <c r="P94" i="36"/>
  <c r="N94" i="36"/>
  <c r="L94" i="36"/>
  <c r="H94" i="36"/>
  <c r="D94" i="36"/>
  <c r="B94" i="36"/>
  <c r="Z93" i="36"/>
  <c r="X93" i="36"/>
  <c r="L93" i="36"/>
  <c r="N93" i="36" s="1"/>
  <c r="B93" i="36"/>
  <c r="Z92" i="36"/>
  <c r="X92" i="36"/>
  <c r="L92" i="36"/>
  <c r="N92" i="36" s="1"/>
  <c r="B92" i="36"/>
  <c r="X91" i="36"/>
  <c r="Z91" i="36" s="1"/>
  <c r="L91" i="36"/>
  <c r="N91" i="36" s="1"/>
  <c r="B91" i="36"/>
  <c r="Z90" i="36"/>
  <c r="X90" i="36"/>
  <c r="N90" i="36"/>
  <c r="L90" i="36"/>
  <c r="B90" i="36"/>
  <c r="Z89" i="36"/>
  <c r="X89" i="36"/>
  <c r="L89" i="36"/>
  <c r="N89" i="36" s="1"/>
  <c r="B89" i="36"/>
  <c r="T88" i="36"/>
  <c r="Z88" i="36" s="1"/>
  <c r="P88" i="36"/>
  <c r="X88" i="36" s="1"/>
  <c r="N88" i="36"/>
  <c r="J88" i="36"/>
  <c r="H88" i="36"/>
  <c r="D88" i="36"/>
  <c r="L88" i="36" s="1"/>
  <c r="B88" i="36"/>
  <c r="Z87" i="36"/>
  <c r="X87" i="36"/>
  <c r="N87" i="36"/>
  <c r="L87" i="36"/>
  <c r="B87" i="36"/>
  <c r="Z86" i="36"/>
  <c r="X86" i="36"/>
  <c r="N86" i="36"/>
  <c r="L86" i="36"/>
  <c r="B86" i="36"/>
  <c r="X85" i="36"/>
  <c r="T85" i="36"/>
  <c r="Z85" i="36" s="1"/>
  <c r="P85" i="36"/>
  <c r="L85" i="36"/>
  <c r="H85" i="36"/>
  <c r="N85" i="36" s="1"/>
  <c r="D85" i="36"/>
  <c r="B85" i="36"/>
  <c r="Z84" i="36"/>
  <c r="X84" i="36"/>
  <c r="N84" i="36"/>
  <c r="L84" i="36"/>
  <c r="B84" i="36"/>
  <c r="X83" i="36"/>
  <c r="Z83" i="36" s="1"/>
  <c r="L83" i="36"/>
  <c r="N83" i="36" s="1"/>
  <c r="B83" i="36"/>
  <c r="Z82" i="36"/>
  <c r="X82" i="36"/>
  <c r="N82" i="36"/>
  <c r="L82" i="36"/>
  <c r="B82" i="36"/>
  <c r="Z81" i="36"/>
  <c r="X81" i="36"/>
  <c r="N81" i="36"/>
  <c r="L81" i="36"/>
  <c r="B81" i="36"/>
  <c r="T80" i="36"/>
  <c r="X80" i="36" s="1"/>
  <c r="Z80" i="36" s="1"/>
  <c r="P80" i="36"/>
  <c r="N80" i="36"/>
  <c r="H80" i="36"/>
  <c r="L80" i="36" s="1"/>
  <c r="D80" i="36"/>
  <c r="B80" i="36"/>
  <c r="X79" i="36"/>
  <c r="Z79" i="36" s="1"/>
  <c r="L79" i="36"/>
  <c r="N79" i="36" s="1"/>
  <c r="B79" i="36"/>
  <c r="Z78" i="36"/>
  <c r="T78" i="36"/>
  <c r="P78" i="36"/>
  <c r="X78" i="36" s="1"/>
  <c r="J78" i="36"/>
  <c r="H78" i="36"/>
  <c r="D78" i="36"/>
  <c r="L78" i="36" s="1"/>
  <c r="B78" i="36"/>
  <c r="X77" i="36"/>
  <c r="Z77" i="36" s="1"/>
  <c r="N77" i="36"/>
  <c r="L77" i="36"/>
  <c r="B77" i="36"/>
  <c r="X76" i="36"/>
  <c r="T76" i="36"/>
  <c r="P76" i="36"/>
  <c r="N76" i="36"/>
  <c r="L76" i="36"/>
  <c r="H76" i="36"/>
  <c r="D76" i="36"/>
  <c r="B76" i="36"/>
  <c r="X75" i="36"/>
  <c r="Z75" i="36" s="1"/>
  <c r="L75" i="36"/>
  <c r="N75" i="36" s="1"/>
  <c r="B75" i="36"/>
  <c r="T74" i="36"/>
  <c r="X74" i="36" s="1"/>
  <c r="P74" i="36"/>
  <c r="H74" i="36"/>
  <c r="L74" i="36" s="1"/>
  <c r="N74" i="36" s="1"/>
  <c r="D74" i="36"/>
  <c r="B74" i="36"/>
  <c r="Z73" i="36"/>
  <c r="X73" i="36"/>
  <c r="L73" i="36"/>
  <c r="N73" i="36" s="1"/>
  <c r="B73" i="36"/>
  <c r="V72" i="36"/>
  <c r="T72" i="36"/>
  <c r="Z72" i="36" s="1"/>
  <c r="P72" i="36"/>
  <c r="X72" i="36" s="1"/>
  <c r="N72" i="36"/>
  <c r="J72" i="36"/>
  <c r="H72" i="36"/>
  <c r="D72" i="36"/>
  <c r="L72" i="36" s="1"/>
  <c r="B72" i="36"/>
  <c r="X71" i="36"/>
  <c r="Z71" i="36" s="1"/>
  <c r="N71" i="36"/>
  <c r="L71" i="36"/>
  <c r="B71" i="36"/>
  <c r="Z70" i="36"/>
  <c r="X70" i="36"/>
  <c r="T70" i="36"/>
  <c r="P70" i="36"/>
  <c r="L70" i="36"/>
  <c r="H70" i="36"/>
  <c r="D70" i="36"/>
  <c r="B70" i="36"/>
  <c r="Z69" i="36"/>
  <c r="X69" i="36"/>
  <c r="N69" i="36"/>
  <c r="L69" i="36"/>
  <c r="B69" i="36"/>
  <c r="Z68" i="36"/>
  <c r="T68" i="36"/>
  <c r="X68" i="36" s="1"/>
  <c r="P68" i="36"/>
  <c r="H68" i="36"/>
  <c r="L68" i="36" s="1"/>
  <c r="D68" i="36"/>
  <c r="B68" i="36"/>
  <c r="X67" i="36"/>
  <c r="Z67" i="36" s="1"/>
  <c r="L67" i="36"/>
  <c r="N67" i="36" s="1"/>
  <c r="B67" i="36"/>
  <c r="T66" i="36"/>
  <c r="P66" i="36"/>
  <c r="X66" i="36" s="1"/>
  <c r="Z66" i="36" s="1"/>
  <c r="J66" i="36"/>
  <c r="H66" i="36"/>
  <c r="N66" i="36" s="1"/>
  <c r="D66" i="36"/>
  <c r="L66" i="36" s="1"/>
  <c r="B66" i="36"/>
  <c r="X65" i="36"/>
  <c r="Z65" i="36" s="1"/>
  <c r="N65" i="36"/>
  <c r="L65" i="36"/>
  <c r="B65" i="36"/>
  <c r="X64" i="36"/>
  <c r="T64" i="36"/>
  <c r="Z64" i="36" s="1"/>
  <c r="P64" i="36"/>
  <c r="L64" i="36"/>
  <c r="N64" i="36" s="1"/>
  <c r="H64" i="36"/>
  <c r="D64" i="36"/>
  <c r="B64" i="36"/>
  <c r="Z63" i="36"/>
  <c r="X63" i="36"/>
  <c r="N63" i="36"/>
  <c r="L63" i="36"/>
  <c r="B63" i="36"/>
  <c r="Z62" i="36"/>
  <c r="T62" i="36"/>
  <c r="X62" i="36" s="1"/>
  <c r="P62" i="36"/>
  <c r="L62" i="36"/>
  <c r="H62" i="36"/>
  <c r="N62" i="36" s="1"/>
  <c r="D62" i="36"/>
  <c r="B62" i="36"/>
  <c r="Z61" i="36"/>
  <c r="X61" i="36"/>
  <c r="V61" i="36"/>
  <c r="L61" i="36"/>
  <c r="N61" i="36" s="1"/>
  <c r="B61" i="36"/>
  <c r="X60" i="36"/>
  <c r="Z60" i="36" s="1"/>
  <c r="L60" i="36"/>
  <c r="N60" i="36" s="1"/>
  <c r="B60" i="36"/>
  <c r="Z59" i="36"/>
  <c r="X59" i="36"/>
  <c r="N59" i="36"/>
  <c r="L59" i="36"/>
  <c r="B59" i="36"/>
  <c r="T58" i="36"/>
  <c r="P58" i="36"/>
  <c r="H58" i="36"/>
  <c r="D58" i="36"/>
  <c r="L58" i="36" s="1"/>
  <c r="B58" i="36"/>
  <c r="X57" i="36"/>
  <c r="Z57" i="36" s="1"/>
  <c r="N57" i="36"/>
  <c r="L57" i="36"/>
  <c r="B57" i="36"/>
  <c r="X56" i="36"/>
  <c r="T56" i="36"/>
  <c r="Z56" i="36" s="1"/>
  <c r="P56" i="36"/>
  <c r="N56" i="36"/>
  <c r="L56" i="36"/>
  <c r="H56" i="36"/>
  <c r="D56" i="36"/>
  <c r="B56" i="36"/>
  <c r="Z55" i="36"/>
  <c r="X55" i="36"/>
  <c r="L55" i="36"/>
  <c r="N55" i="36" s="1"/>
  <c r="B55" i="36"/>
  <c r="T54" i="36"/>
  <c r="P54" i="36"/>
  <c r="H54" i="36"/>
  <c r="L54" i="36" s="1"/>
  <c r="N54" i="36" s="1"/>
  <c r="D54" i="36"/>
  <c r="B54" i="36"/>
  <c r="Z53" i="36"/>
  <c r="X53" i="36"/>
  <c r="L53" i="36"/>
  <c r="N53" i="36" s="1"/>
  <c r="B53" i="36"/>
  <c r="T52" i="36"/>
  <c r="P52" i="36"/>
  <c r="X52" i="36" s="1"/>
  <c r="H52" i="36"/>
  <c r="N52" i="36" s="1"/>
  <c r="D52" i="36"/>
  <c r="L52" i="36" s="1"/>
  <c r="B52" i="36"/>
  <c r="Z51" i="36"/>
  <c r="X51" i="36"/>
  <c r="N51" i="36"/>
  <c r="L51" i="36"/>
  <c r="B51" i="36"/>
  <c r="Z50" i="36"/>
  <c r="X50" i="36"/>
  <c r="N50" i="36"/>
  <c r="L50" i="36"/>
  <c r="B50" i="36"/>
  <c r="X49" i="36"/>
  <c r="Z49" i="36" s="1"/>
  <c r="N49" i="36"/>
  <c r="L49" i="36"/>
  <c r="B49" i="36"/>
  <c r="X48" i="36"/>
  <c r="Z48" i="36" s="1"/>
  <c r="N48" i="36"/>
  <c r="L48" i="36"/>
  <c r="B48" i="36"/>
  <c r="Z47" i="36"/>
  <c r="X47" i="36"/>
  <c r="N47" i="36"/>
  <c r="L47" i="36"/>
  <c r="B47" i="36"/>
  <c r="Z46" i="36"/>
  <c r="X46" i="36"/>
  <c r="N46" i="36"/>
  <c r="L46" i="36"/>
  <c r="B46" i="36"/>
  <c r="X45" i="36"/>
  <c r="Z45" i="36" s="1"/>
  <c r="N45" i="36"/>
  <c r="L45" i="36"/>
  <c r="B45" i="36"/>
  <c r="Z44" i="36"/>
  <c r="X44" i="36"/>
  <c r="N44" i="36"/>
  <c r="L44" i="36"/>
  <c r="B44" i="36"/>
  <c r="X43" i="36"/>
  <c r="Z43" i="36" s="1"/>
  <c r="V43" i="36"/>
  <c r="L43" i="36"/>
  <c r="N43" i="36" s="1"/>
  <c r="B43" i="36"/>
  <c r="X42" i="36"/>
  <c r="Z42" i="36" s="1"/>
  <c r="V42" i="36"/>
  <c r="L42" i="36"/>
  <c r="N42" i="36" s="1"/>
  <c r="B42" i="36"/>
  <c r="T41" i="36"/>
  <c r="P41" i="36"/>
  <c r="X41" i="36" s="1"/>
  <c r="N41" i="36"/>
  <c r="L41" i="36"/>
  <c r="H41" i="36"/>
  <c r="D41" i="36"/>
  <c r="B41" i="36"/>
  <c r="Z40" i="36"/>
  <c r="X40" i="36"/>
  <c r="V40" i="36"/>
  <c r="L40" i="36"/>
  <c r="N40" i="36" s="1"/>
  <c r="B40" i="36"/>
  <c r="Z39" i="36"/>
  <c r="X39" i="36"/>
  <c r="L39" i="36"/>
  <c r="N39" i="36" s="1"/>
  <c r="B39" i="36"/>
  <c r="Z38" i="36"/>
  <c r="X38" i="36"/>
  <c r="L38" i="36"/>
  <c r="N38" i="36" s="1"/>
  <c r="B38" i="36"/>
  <c r="Z37" i="36"/>
  <c r="X37" i="36"/>
  <c r="V37" i="36"/>
  <c r="N37" i="36"/>
  <c r="L37" i="36"/>
  <c r="J37" i="36"/>
  <c r="B37" i="36"/>
  <c r="Z36" i="36"/>
  <c r="X36" i="36"/>
  <c r="V36" i="36"/>
  <c r="N36" i="36"/>
  <c r="L36" i="36"/>
  <c r="B36" i="36"/>
  <c r="Z35" i="36"/>
  <c r="X35" i="36"/>
  <c r="L35" i="36"/>
  <c r="N35" i="36" s="1"/>
  <c r="B35" i="36"/>
  <c r="Z34" i="36"/>
  <c r="X34" i="36"/>
  <c r="L34" i="36"/>
  <c r="N34" i="36" s="1"/>
  <c r="B34" i="36"/>
  <c r="X33" i="36"/>
  <c r="Z33" i="36" s="1"/>
  <c r="V33" i="36"/>
  <c r="L33" i="36"/>
  <c r="N33" i="36" s="1"/>
  <c r="J33" i="36"/>
  <c r="B33" i="36"/>
  <c r="Z32" i="36"/>
  <c r="X32" i="36"/>
  <c r="V32" i="36"/>
  <c r="L32" i="36"/>
  <c r="N32" i="36" s="1"/>
  <c r="B32" i="36"/>
  <c r="Z31" i="36"/>
  <c r="X31" i="36"/>
  <c r="L31" i="36"/>
  <c r="N31" i="36" s="1"/>
  <c r="B31" i="36"/>
  <c r="T30" i="36"/>
  <c r="Z30" i="36" s="1"/>
  <c r="P30" i="36"/>
  <c r="X30" i="36" s="1"/>
  <c r="J30" i="36"/>
  <c r="H30" i="36"/>
  <c r="D30" i="36"/>
  <c r="L30" i="36" s="1"/>
  <c r="N30" i="36" s="1"/>
  <c r="B30" i="36"/>
  <c r="V29" i="36"/>
  <c r="T29" i="36"/>
  <c r="P29" i="36"/>
  <c r="X29" i="36" s="1"/>
  <c r="H29" i="36"/>
  <c r="D29" i="36"/>
  <c r="L29" i="36" s="1"/>
  <c r="H27" i="36"/>
  <c r="Z25" i="36"/>
  <c r="X25" i="36"/>
  <c r="V25" i="36"/>
  <c r="N25" i="36"/>
  <c r="L25" i="36"/>
  <c r="B25" i="36"/>
  <c r="Z24" i="36"/>
  <c r="X24" i="36"/>
  <c r="V24" i="36"/>
  <c r="N24" i="36"/>
  <c r="L24" i="36"/>
  <c r="B24" i="36"/>
  <c r="X23" i="36"/>
  <c r="Z23" i="36" s="1"/>
  <c r="N23" i="36"/>
  <c r="L23" i="36"/>
  <c r="B23" i="36"/>
  <c r="Z22" i="36"/>
  <c r="X22" i="36"/>
  <c r="T22" i="36"/>
  <c r="P22" i="36"/>
  <c r="J22" i="36"/>
  <c r="H22" i="36"/>
  <c r="D22" i="36"/>
  <c r="L22" i="36" s="1"/>
  <c r="N22" i="36" s="1"/>
  <c r="Z20" i="36"/>
  <c r="P20" i="36"/>
  <c r="X20" i="36" s="1"/>
  <c r="N20" i="36"/>
  <c r="L20" i="36"/>
  <c r="D20" i="36"/>
  <c r="B20" i="36"/>
  <c r="Z19" i="36"/>
  <c r="X19" i="36"/>
  <c r="P19" i="36"/>
  <c r="N19" i="36"/>
  <c r="L19" i="36"/>
  <c r="D19" i="36"/>
  <c r="B19" i="36"/>
  <c r="P18" i="36"/>
  <c r="D18" i="36"/>
  <c r="L18" i="36" s="1"/>
  <c r="N18" i="36" s="1"/>
  <c r="B18" i="36"/>
  <c r="Z17" i="36"/>
  <c r="P17" i="36"/>
  <c r="X17" i="36" s="1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X14" i="36"/>
  <c r="P14" i="36"/>
  <c r="N14" i="36"/>
  <c r="D14" i="36"/>
  <c r="L14" i="36" s="1"/>
  <c r="B14" i="36"/>
  <c r="X13" i="36"/>
  <c r="Z13" i="36" s="1"/>
  <c r="P13" i="36"/>
  <c r="D13" i="36"/>
  <c r="D12" i="36" s="1"/>
  <c r="F25" i="36" s="1"/>
  <c r="B13" i="36"/>
  <c r="T12" i="36"/>
  <c r="V104" i="36" s="1"/>
  <c r="H12" i="36"/>
  <c r="J84" i="36" s="1"/>
  <c r="D4" i="36"/>
  <c r="Z82" i="33"/>
  <c r="X82" i="33"/>
  <c r="N82" i="33"/>
  <c r="L82" i="33"/>
  <c r="X78" i="33"/>
  <c r="Z78" i="33" s="1"/>
  <c r="P78" i="33"/>
  <c r="J78" i="33"/>
  <c r="D78" i="33"/>
  <c r="L78" i="33" s="1"/>
  <c r="N78" i="33" s="1"/>
  <c r="B78" i="33"/>
  <c r="V77" i="33"/>
  <c r="T77" i="33"/>
  <c r="P77" i="33"/>
  <c r="X77" i="33" s="1"/>
  <c r="Z77" i="33" s="1"/>
  <c r="H77" i="33"/>
  <c r="Z75" i="33"/>
  <c r="X75" i="33"/>
  <c r="V75" i="33"/>
  <c r="N75" i="33"/>
  <c r="L75" i="33"/>
  <c r="J75" i="33"/>
  <c r="B75" i="33"/>
  <c r="Z74" i="33"/>
  <c r="T74" i="33"/>
  <c r="P74" i="33"/>
  <c r="X74" i="33" s="1"/>
  <c r="J74" i="33"/>
  <c r="H74" i="33"/>
  <c r="L74" i="33" s="1"/>
  <c r="D74" i="33"/>
  <c r="B74" i="33"/>
  <c r="Z73" i="33"/>
  <c r="X73" i="33"/>
  <c r="N73" i="33"/>
  <c r="L73" i="33"/>
  <c r="J73" i="33"/>
  <c r="B73" i="33"/>
  <c r="X72" i="33"/>
  <c r="V72" i="33"/>
  <c r="T72" i="33"/>
  <c r="Z72" i="33" s="1"/>
  <c r="P72" i="33"/>
  <c r="L72" i="33"/>
  <c r="H72" i="33"/>
  <c r="N72" i="33" s="1"/>
  <c r="D72" i="33"/>
  <c r="B72" i="33"/>
  <c r="X71" i="33"/>
  <c r="Z71" i="33" s="1"/>
  <c r="N71" i="33"/>
  <c r="L71" i="33"/>
  <c r="J71" i="33"/>
  <c r="B71" i="33"/>
  <c r="Z70" i="33"/>
  <c r="X70" i="33"/>
  <c r="N70" i="33"/>
  <c r="L70" i="33"/>
  <c r="B70" i="33"/>
  <c r="Z69" i="33"/>
  <c r="X69" i="33"/>
  <c r="V69" i="33"/>
  <c r="N69" i="33"/>
  <c r="L69" i="33"/>
  <c r="J69" i="33"/>
  <c r="B69" i="33"/>
  <c r="Z68" i="33"/>
  <c r="X68" i="33"/>
  <c r="N68" i="33"/>
  <c r="L68" i="33"/>
  <c r="J68" i="33"/>
  <c r="B68" i="33"/>
  <c r="Z67" i="33"/>
  <c r="X67" i="33"/>
  <c r="N67" i="33"/>
  <c r="L67" i="33"/>
  <c r="J67" i="33"/>
  <c r="B67" i="33"/>
  <c r="Z66" i="33"/>
  <c r="X66" i="33"/>
  <c r="T66" i="33"/>
  <c r="P66" i="33"/>
  <c r="H66" i="33"/>
  <c r="D66" i="33"/>
  <c r="L66" i="33" s="1"/>
  <c r="B66" i="33"/>
  <c r="Z65" i="33"/>
  <c r="X65" i="33"/>
  <c r="V65" i="33"/>
  <c r="N65" i="33"/>
  <c r="L65" i="33"/>
  <c r="B65" i="33"/>
  <c r="V64" i="33"/>
  <c r="T64" i="33"/>
  <c r="X64" i="33" s="1"/>
  <c r="P64" i="33"/>
  <c r="H64" i="33"/>
  <c r="D64" i="33"/>
  <c r="L64" i="33" s="1"/>
  <c r="N64" i="33" s="1"/>
  <c r="B64" i="33"/>
  <c r="X63" i="33"/>
  <c r="Z63" i="33" s="1"/>
  <c r="V63" i="33"/>
  <c r="L63" i="33"/>
  <c r="N63" i="33" s="1"/>
  <c r="J63" i="33"/>
  <c r="B63" i="33"/>
  <c r="Z62" i="33"/>
  <c r="X62" i="33"/>
  <c r="N62" i="33"/>
  <c r="L62" i="33"/>
  <c r="B62" i="33"/>
  <c r="Z61" i="33"/>
  <c r="X61" i="33"/>
  <c r="T61" i="33"/>
  <c r="P61" i="33"/>
  <c r="J61" i="33"/>
  <c r="H61" i="33"/>
  <c r="D61" i="33"/>
  <c r="L61" i="33" s="1"/>
  <c r="N61" i="33" s="1"/>
  <c r="B61" i="33"/>
  <c r="X60" i="33"/>
  <c r="Z60" i="33" s="1"/>
  <c r="L60" i="33"/>
  <c r="N60" i="33" s="1"/>
  <c r="J60" i="33"/>
  <c r="B60" i="33"/>
  <c r="X59" i="33"/>
  <c r="Z59" i="33" s="1"/>
  <c r="V59" i="33"/>
  <c r="N59" i="33"/>
  <c r="L59" i="33"/>
  <c r="J59" i="33"/>
  <c r="B59" i="33"/>
  <c r="Z58" i="33"/>
  <c r="X58" i="33"/>
  <c r="T58" i="33"/>
  <c r="P58" i="33"/>
  <c r="H58" i="33"/>
  <c r="D58" i="33"/>
  <c r="L58" i="33" s="1"/>
  <c r="B58" i="33"/>
  <c r="Z57" i="33"/>
  <c r="X57" i="33"/>
  <c r="V57" i="33"/>
  <c r="N57" i="33"/>
  <c r="L57" i="33"/>
  <c r="B57" i="33"/>
  <c r="V56" i="33"/>
  <c r="T56" i="33"/>
  <c r="X56" i="33" s="1"/>
  <c r="P56" i="33"/>
  <c r="H56" i="33"/>
  <c r="D56" i="33"/>
  <c r="L56" i="33" s="1"/>
  <c r="N56" i="33" s="1"/>
  <c r="B56" i="33"/>
  <c r="X55" i="33"/>
  <c r="Z55" i="33" s="1"/>
  <c r="V55" i="33"/>
  <c r="L55" i="33"/>
  <c r="N55" i="33" s="1"/>
  <c r="J55" i="33"/>
  <c r="B55" i="33"/>
  <c r="X54" i="33"/>
  <c r="T54" i="33"/>
  <c r="P54" i="33"/>
  <c r="L54" i="33"/>
  <c r="J54" i="33"/>
  <c r="H54" i="33"/>
  <c r="N54" i="33" s="1"/>
  <c r="D54" i="33"/>
  <c r="B54" i="33"/>
  <c r="Z53" i="33"/>
  <c r="X53" i="33"/>
  <c r="V53" i="33"/>
  <c r="N53" i="33"/>
  <c r="L53" i="33"/>
  <c r="J53" i="33"/>
  <c r="B53" i="33"/>
  <c r="T52" i="33"/>
  <c r="P52" i="33"/>
  <c r="X52" i="33" s="1"/>
  <c r="N52" i="33"/>
  <c r="L52" i="33"/>
  <c r="H52" i="33"/>
  <c r="D52" i="33"/>
  <c r="B52" i="33"/>
  <c r="Z51" i="33"/>
  <c r="X51" i="33"/>
  <c r="V51" i="33"/>
  <c r="L51" i="33"/>
  <c r="N51" i="33" s="1"/>
  <c r="J51" i="33"/>
  <c r="B51" i="33"/>
  <c r="T50" i="33"/>
  <c r="P50" i="33"/>
  <c r="X50" i="33" s="1"/>
  <c r="Z50" i="33" s="1"/>
  <c r="J50" i="33"/>
  <c r="H50" i="33"/>
  <c r="L50" i="33" s="1"/>
  <c r="D50" i="33"/>
  <c r="B50" i="33"/>
  <c r="Z49" i="33"/>
  <c r="X49" i="33"/>
  <c r="N49" i="33"/>
  <c r="L49" i="33"/>
  <c r="J49" i="33"/>
  <c r="B49" i="33"/>
  <c r="Z48" i="33"/>
  <c r="X48" i="33"/>
  <c r="V48" i="33"/>
  <c r="N48" i="33"/>
  <c r="L48" i="33"/>
  <c r="B48" i="33"/>
  <c r="Z47" i="33"/>
  <c r="X47" i="33"/>
  <c r="V47" i="33"/>
  <c r="N47" i="33"/>
  <c r="L47" i="33"/>
  <c r="J47" i="33"/>
  <c r="B47" i="33"/>
  <c r="Z46" i="33"/>
  <c r="X46" i="33"/>
  <c r="N46" i="33"/>
  <c r="L46" i="33"/>
  <c r="B46" i="33"/>
  <c r="Z45" i="33"/>
  <c r="X45" i="33"/>
  <c r="N45" i="33"/>
  <c r="L45" i="33"/>
  <c r="J45" i="33"/>
  <c r="B45" i="33"/>
  <c r="Z44" i="33"/>
  <c r="X44" i="33"/>
  <c r="V44" i="33"/>
  <c r="N44" i="33"/>
  <c r="L44" i="33"/>
  <c r="B44" i="33"/>
  <c r="Z43" i="33"/>
  <c r="X43" i="33"/>
  <c r="V43" i="33"/>
  <c r="N43" i="33"/>
  <c r="L43" i="33"/>
  <c r="J43" i="33"/>
  <c r="B43" i="33"/>
  <c r="Z42" i="33"/>
  <c r="X42" i="33"/>
  <c r="N42" i="33"/>
  <c r="L42" i="33"/>
  <c r="B42" i="33"/>
  <c r="Z41" i="33"/>
  <c r="X41" i="33"/>
  <c r="V41" i="33"/>
  <c r="N41" i="33"/>
  <c r="L41" i="33"/>
  <c r="J41" i="33"/>
  <c r="B41" i="33"/>
  <c r="Z40" i="33"/>
  <c r="X40" i="33"/>
  <c r="V40" i="33"/>
  <c r="N40" i="33"/>
  <c r="L40" i="33"/>
  <c r="B40" i="33"/>
  <c r="V39" i="33"/>
  <c r="T39" i="33"/>
  <c r="P39" i="33"/>
  <c r="X39" i="33" s="1"/>
  <c r="Z39" i="33" s="1"/>
  <c r="N39" i="33"/>
  <c r="L39" i="33"/>
  <c r="J39" i="33"/>
  <c r="H39" i="33"/>
  <c r="D39" i="33"/>
  <c r="B39" i="33"/>
  <c r="Z38" i="33"/>
  <c r="X38" i="33"/>
  <c r="N38" i="33"/>
  <c r="L38" i="33"/>
  <c r="B38" i="33"/>
  <c r="Z37" i="33"/>
  <c r="X37" i="33"/>
  <c r="V37" i="33"/>
  <c r="N37" i="33"/>
  <c r="L37" i="33"/>
  <c r="J37" i="33"/>
  <c r="B37" i="33"/>
  <c r="X36" i="33"/>
  <c r="Z36" i="33" s="1"/>
  <c r="L36" i="33"/>
  <c r="N36" i="33" s="1"/>
  <c r="J36" i="33"/>
  <c r="B36" i="33"/>
  <c r="Z35" i="33"/>
  <c r="X35" i="33"/>
  <c r="V35" i="33"/>
  <c r="N35" i="33"/>
  <c r="L35" i="33"/>
  <c r="J35" i="33"/>
  <c r="B35" i="33"/>
  <c r="Z34" i="33"/>
  <c r="X34" i="33"/>
  <c r="N34" i="33"/>
  <c r="L34" i="33"/>
  <c r="B34" i="33"/>
  <c r="Z33" i="33"/>
  <c r="X33" i="33"/>
  <c r="V33" i="33"/>
  <c r="N33" i="33"/>
  <c r="L33" i="33"/>
  <c r="J33" i="33"/>
  <c r="B33" i="33"/>
  <c r="X32" i="33"/>
  <c r="Z32" i="33" s="1"/>
  <c r="L32" i="33"/>
  <c r="N32" i="33" s="1"/>
  <c r="J32" i="33"/>
  <c r="B32" i="33"/>
  <c r="X31" i="33"/>
  <c r="Z31" i="33" s="1"/>
  <c r="V31" i="33"/>
  <c r="N31" i="33"/>
  <c r="L31" i="33"/>
  <c r="J31" i="33"/>
  <c r="B31" i="33"/>
  <c r="Z30" i="33"/>
  <c r="X30" i="33"/>
  <c r="N30" i="33"/>
  <c r="L30" i="33"/>
  <c r="B30" i="33"/>
  <c r="T29" i="33"/>
  <c r="V29" i="33" s="1"/>
  <c r="P29" i="33"/>
  <c r="L29" i="33"/>
  <c r="N29" i="33" s="1"/>
  <c r="J29" i="33"/>
  <c r="H29" i="33"/>
  <c r="D29" i="33"/>
  <c r="B29" i="33"/>
  <c r="T28" i="33"/>
  <c r="V28" i="33" s="1"/>
  <c r="P28" i="33"/>
  <c r="X28" i="33" s="1"/>
  <c r="H28" i="33"/>
  <c r="D28" i="33"/>
  <c r="L28" i="33" s="1"/>
  <c r="N28" i="33" s="1"/>
  <c r="T24" i="33"/>
  <c r="V24" i="33" s="1"/>
  <c r="P24" i="33"/>
  <c r="X24" i="33" s="1"/>
  <c r="N24" i="33"/>
  <c r="H24" i="33"/>
  <c r="J24" i="33" s="1"/>
  <c r="D24" i="33"/>
  <c r="L24" i="33" s="1"/>
  <c r="Z22" i="33"/>
  <c r="P22" i="33"/>
  <c r="X22" i="33" s="1"/>
  <c r="N22" i="33"/>
  <c r="D22" i="33"/>
  <c r="L22" i="33" s="1"/>
  <c r="B22" i="33"/>
  <c r="Z21" i="33"/>
  <c r="P21" i="33"/>
  <c r="X21" i="33" s="1"/>
  <c r="N21" i="33"/>
  <c r="L21" i="33"/>
  <c r="D21" i="33"/>
  <c r="B21" i="33"/>
  <c r="Z20" i="33"/>
  <c r="X20" i="33"/>
  <c r="P20" i="33"/>
  <c r="N20" i="33"/>
  <c r="L20" i="33"/>
  <c r="D20" i="33"/>
  <c r="B20" i="33"/>
  <c r="Z19" i="33"/>
  <c r="P19" i="33"/>
  <c r="X19" i="33" s="1"/>
  <c r="N19" i="33"/>
  <c r="D19" i="33"/>
  <c r="L19" i="33" s="1"/>
  <c r="B19" i="33"/>
  <c r="Z18" i="33"/>
  <c r="P18" i="33"/>
  <c r="X18" i="33" s="1"/>
  <c r="N18" i="33"/>
  <c r="D18" i="33"/>
  <c r="L18" i="33" s="1"/>
  <c r="B18" i="33"/>
  <c r="Z17" i="33"/>
  <c r="P17" i="33"/>
  <c r="X17" i="33" s="1"/>
  <c r="L17" i="33"/>
  <c r="N17" i="33" s="1"/>
  <c r="D17" i="33"/>
  <c r="B17" i="33"/>
  <c r="Z16" i="33"/>
  <c r="X16" i="33"/>
  <c r="P16" i="33"/>
  <c r="N16" i="33"/>
  <c r="D16" i="33"/>
  <c r="L16" i="33" s="1"/>
  <c r="B16" i="33"/>
  <c r="Z15" i="33"/>
  <c r="P15" i="33"/>
  <c r="X15" i="33" s="1"/>
  <c r="N15" i="33"/>
  <c r="D15" i="33"/>
  <c r="L15" i="33" s="1"/>
  <c r="B15" i="33"/>
  <c r="Z14" i="33"/>
  <c r="X14" i="33"/>
  <c r="P14" i="33"/>
  <c r="N14" i="33"/>
  <c r="D14" i="33"/>
  <c r="L14" i="33" s="1"/>
  <c r="B14" i="33"/>
  <c r="P13" i="33"/>
  <c r="N13" i="33"/>
  <c r="L13" i="33"/>
  <c r="D13" i="33"/>
  <c r="B13" i="33"/>
  <c r="T12" i="33"/>
  <c r="H12" i="33"/>
  <c r="J62" i="33" s="1"/>
  <c r="D4" i="33"/>
  <c r="Z167" i="30"/>
  <c r="X167" i="30"/>
  <c r="V167" i="30"/>
  <c r="L167" i="30"/>
  <c r="N167" i="30" s="1"/>
  <c r="Z163" i="30"/>
  <c r="X163" i="30"/>
  <c r="P163" i="30"/>
  <c r="N163" i="30"/>
  <c r="L163" i="30"/>
  <c r="D163" i="30"/>
  <c r="D160" i="30" s="1"/>
  <c r="L160" i="30" s="1"/>
  <c r="B163" i="30"/>
  <c r="Z162" i="30"/>
  <c r="X162" i="30"/>
  <c r="P162" i="30"/>
  <c r="N162" i="30"/>
  <c r="J162" i="30"/>
  <c r="D162" i="30"/>
  <c r="L162" i="30" s="1"/>
  <c r="B162" i="30"/>
  <c r="P161" i="30"/>
  <c r="X161" i="30" s="1"/>
  <c r="Z161" i="30" s="1"/>
  <c r="L161" i="30"/>
  <c r="N161" i="30" s="1"/>
  <c r="D161" i="30"/>
  <c r="B161" i="30"/>
  <c r="X160" i="30"/>
  <c r="Z160" i="30" s="1"/>
  <c r="T160" i="30"/>
  <c r="P160" i="30"/>
  <c r="H160" i="30"/>
  <c r="X158" i="30"/>
  <c r="Z158" i="30" s="1"/>
  <c r="N158" i="30"/>
  <c r="L158" i="30"/>
  <c r="B158" i="30"/>
  <c r="T157" i="30"/>
  <c r="X157" i="30" s="1"/>
  <c r="Z157" i="30" s="1"/>
  <c r="P157" i="30"/>
  <c r="L157" i="30"/>
  <c r="N157" i="30" s="1"/>
  <c r="H157" i="30"/>
  <c r="D157" i="30"/>
  <c r="B157" i="30"/>
  <c r="X156" i="30"/>
  <c r="Z156" i="30" s="1"/>
  <c r="L156" i="30"/>
  <c r="N156" i="30" s="1"/>
  <c r="J156" i="30"/>
  <c r="B156" i="30"/>
  <c r="Z155" i="30"/>
  <c r="X155" i="30"/>
  <c r="V155" i="30"/>
  <c r="L155" i="30"/>
  <c r="N155" i="30" s="1"/>
  <c r="B155" i="30"/>
  <c r="T154" i="30"/>
  <c r="P154" i="30"/>
  <c r="X154" i="30" s="1"/>
  <c r="Z154" i="30" s="1"/>
  <c r="H154" i="30"/>
  <c r="D154" i="30"/>
  <c r="L154" i="30" s="1"/>
  <c r="B154" i="30"/>
  <c r="Z153" i="30"/>
  <c r="X153" i="30"/>
  <c r="N153" i="30"/>
  <c r="L153" i="30"/>
  <c r="B153" i="30"/>
  <c r="X152" i="30"/>
  <c r="V152" i="30"/>
  <c r="T152" i="30"/>
  <c r="Z152" i="30" s="1"/>
  <c r="P152" i="30"/>
  <c r="L152" i="30"/>
  <c r="H152" i="30"/>
  <c r="N152" i="30" s="1"/>
  <c r="D152" i="30"/>
  <c r="B152" i="30"/>
  <c r="X151" i="30"/>
  <c r="Z151" i="30" s="1"/>
  <c r="N151" i="30"/>
  <c r="L151" i="30"/>
  <c r="J151" i="30"/>
  <c r="B151" i="30"/>
  <c r="X150" i="30"/>
  <c r="Z150" i="30" s="1"/>
  <c r="N150" i="30"/>
  <c r="L150" i="30"/>
  <c r="B150" i="30"/>
  <c r="Z149" i="30"/>
  <c r="T149" i="30"/>
  <c r="X149" i="30" s="1"/>
  <c r="P149" i="30"/>
  <c r="L149" i="30"/>
  <c r="N149" i="30" s="1"/>
  <c r="H149" i="30"/>
  <c r="D149" i="30"/>
  <c r="B149" i="30"/>
  <c r="X148" i="30"/>
  <c r="Z148" i="30" s="1"/>
  <c r="L148" i="30"/>
  <c r="N148" i="30" s="1"/>
  <c r="J148" i="30"/>
  <c r="B148" i="30"/>
  <c r="Z147" i="30"/>
  <c r="X147" i="30"/>
  <c r="V147" i="30"/>
  <c r="L147" i="30"/>
  <c r="N147" i="30" s="1"/>
  <c r="J147" i="30"/>
  <c r="B147" i="30"/>
  <c r="Z146" i="30"/>
  <c r="X146" i="30"/>
  <c r="N146" i="30"/>
  <c r="L146" i="30"/>
  <c r="B146" i="30"/>
  <c r="Z145" i="30"/>
  <c r="X145" i="30"/>
  <c r="N145" i="30"/>
  <c r="L145" i="30"/>
  <c r="B145" i="30"/>
  <c r="X144" i="30"/>
  <c r="Z144" i="30" s="1"/>
  <c r="L144" i="30"/>
  <c r="N144" i="30" s="1"/>
  <c r="J144" i="30"/>
  <c r="B144" i="30"/>
  <c r="Z143" i="30"/>
  <c r="X143" i="30"/>
  <c r="V143" i="30"/>
  <c r="L143" i="30"/>
  <c r="N143" i="30" s="1"/>
  <c r="J143" i="30"/>
  <c r="B143" i="30"/>
  <c r="Z142" i="30"/>
  <c r="X142" i="30"/>
  <c r="L142" i="30"/>
  <c r="N142" i="30" s="1"/>
  <c r="B142" i="30"/>
  <c r="Z141" i="30"/>
  <c r="X141" i="30"/>
  <c r="N141" i="30"/>
  <c r="L141" i="30"/>
  <c r="B141" i="30"/>
  <c r="T140" i="30"/>
  <c r="Z140" i="30" s="1"/>
  <c r="P140" i="30"/>
  <c r="X140" i="30" s="1"/>
  <c r="H140" i="30"/>
  <c r="D140" i="30"/>
  <c r="L140" i="30" s="1"/>
  <c r="N140" i="30" s="1"/>
  <c r="B140" i="30"/>
  <c r="Z139" i="30"/>
  <c r="X139" i="30"/>
  <c r="V139" i="30"/>
  <c r="N139" i="30"/>
  <c r="L139" i="30"/>
  <c r="B139" i="30"/>
  <c r="X138" i="30"/>
  <c r="Z138" i="30" s="1"/>
  <c r="N138" i="30"/>
  <c r="L138" i="30"/>
  <c r="B138" i="30"/>
  <c r="Z137" i="30"/>
  <c r="X137" i="30"/>
  <c r="T137" i="30"/>
  <c r="P137" i="30"/>
  <c r="N137" i="30"/>
  <c r="J137" i="30"/>
  <c r="H137" i="30"/>
  <c r="D137" i="30"/>
  <c r="L137" i="30" s="1"/>
  <c r="B137" i="30"/>
  <c r="X136" i="30"/>
  <c r="Z136" i="30" s="1"/>
  <c r="L136" i="30"/>
  <c r="N136" i="30" s="1"/>
  <c r="B136" i="30"/>
  <c r="X135" i="30"/>
  <c r="Z135" i="30" s="1"/>
  <c r="N135" i="30"/>
  <c r="L135" i="30"/>
  <c r="J135" i="30"/>
  <c r="B135" i="30"/>
  <c r="Z134" i="30"/>
  <c r="X134" i="30"/>
  <c r="N134" i="30"/>
  <c r="L134" i="30"/>
  <c r="B134" i="30"/>
  <c r="Z133" i="30"/>
  <c r="T133" i="30"/>
  <c r="X133" i="30" s="1"/>
  <c r="P133" i="30"/>
  <c r="L133" i="30"/>
  <c r="N133" i="30" s="1"/>
  <c r="H133" i="30"/>
  <c r="D133" i="30"/>
  <c r="B133" i="30"/>
  <c r="X132" i="30"/>
  <c r="Z132" i="30" s="1"/>
  <c r="L132" i="30"/>
  <c r="N132" i="30" s="1"/>
  <c r="J132" i="30"/>
  <c r="B132" i="30"/>
  <c r="Z131" i="30"/>
  <c r="X131" i="30"/>
  <c r="V131" i="30"/>
  <c r="L131" i="30"/>
  <c r="N131" i="30" s="1"/>
  <c r="J131" i="30"/>
  <c r="B131" i="30"/>
  <c r="Z130" i="30"/>
  <c r="X130" i="30"/>
  <c r="L130" i="30"/>
  <c r="N130" i="30" s="1"/>
  <c r="B130" i="30"/>
  <c r="T129" i="30"/>
  <c r="Z129" i="30" s="1"/>
  <c r="P129" i="30"/>
  <c r="X129" i="30" s="1"/>
  <c r="J129" i="30"/>
  <c r="H129" i="30"/>
  <c r="D129" i="30"/>
  <c r="L129" i="30" s="1"/>
  <c r="N129" i="30" s="1"/>
  <c r="B129" i="30"/>
  <c r="X128" i="30"/>
  <c r="Z128" i="30" s="1"/>
  <c r="V128" i="30"/>
  <c r="L128" i="30"/>
  <c r="N128" i="30" s="1"/>
  <c r="B128" i="30"/>
  <c r="Z127" i="30"/>
  <c r="X127" i="30"/>
  <c r="V127" i="30"/>
  <c r="N127" i="30"/>
  <c r="L127" i="30"/>
  <c r="B127" i="30"/>
  <c r="X126" i="30"/>
  <c r="T126" i="30"/>
  <c r="Z126" i="30" s="1"/>
  <c r="P126" i="30"/>
  <c r="L126" i="30"/>
  <c r="J126" i="30"/>
  <c r="H126" i="30"/>
  <c r="N126" i="30" s="1"/>
  <c r="D126" i="30"/>
  <c r="B126" i="30"/>
  <c r="Z125" i="30"/>
  <c r="X125" i="30"/>
  <c r="N125" i="30"/>
  <c r="L125" i="30"/>
  <c r="B125" i="30"/>
  <c r="T124" i="30"/>
  <c r="P124" i="30"/>
  <c r="L124" i="30"/>
  <c r="N124" i="30" s="1"/>
  <c r="H124" i="30"/>
  <c r="D124" i="30"/>
  <c r="B124" i="30"/>
  <c r="Z123" i="30"/>
  <c r="X123" i="30"/>
  <c r="V123" i="30"/>
  <c r="N123" i="30"/>
  <c r="L123" i="30"/>
  <c r="J123" i="30"/>
  <c r="B123" i="30"/>
  <c r="T122" i="30"/>
  <c r="P122" i="30"/>
  <c r="X122" i="30" s="1"/>
  <c r="Z122" i="30" s="1"/>
  <c r="H122" i="30"/>
  <c r="J122" i="30" s="1"/>
  <c r="D122" i="30"/>
  <c r="L122" i="30" s="1"/>
  <c r="B122" i="30"/>
  <c r="Z121" i="30"/>
  <c r="X121" i="30"/>
  <c r="N121" i="30"/>
  <c r="L121" i="30"/>
  <c r="B121" i="30"/>
  <c r="X120" i="30"/>
  <c r="V120" i="30"/>
  <c r="T120" i="30"/>
  <c r="Z120" i="30" s="1"/>
  <c r="P120" i="30"/>
  <c r="L120" i="30"/>
  <c r="H120" i="30"/>
  <c r="D120" i="30"/>
  <c r="B120" i="30"/>
  <c r="X119" i="30"/>
  <c r="Z119" i="30" s="1"/>
  <c r="N119" i="30"/>
  <c r="L119" i="30"/>
  <c r="J119" i="30"/>
  <c r="B119" i="30"/>
  <c r="X118" i="30"/>
  <c r="Z118" i="30" s="1"/>
  <c r="T118" i="30"/>
  <c r="P118" i="30"/>
  <c r="H118" i="30"/>
  <c r="D118" i="30"/>
  <c r="B118" i="30"/>
  <c r="Z117" i="30"/>
  <c r="X117" i="30"/>
  <c r="N117" i="30"/>
  <c r="L117" i="30"/>
  <c r="B117" i="30"/>
  <c r="X116" i="30"/>
  <c r="Z116" i="30" s="1"/>
  <c r="V116" i="30"/>
  <c r="N116" i="30"/>
  <c r="L116" i="30"/>
  <c r="J116" i="30"/>
  <c r="B116" i="30"/>
  <c r="V115" i="30"/>
  <c r="T115" i="30"/>
  <c r="P115" i="30"/>
  <c r="X115" i="30" s="1"/>
  <c r="Z115" i="30" s="1"/>
  <c r="H115" i="30"/>
  <c r="N115" i="30" s="1"/>
  <c r="D115" i="30"/>
  <c r="L115" i="30" s="1"/>
  <c r="B115" i="30"/>
  <c r="X114" i="30"/>
  <c r="Z114" i="30" s="1"/>
  <c r="L114" i="30"/>
  <c r="N114" i="30" s="1"/>
  <c r="B114" i="30"/>
  <c r="Z113" i="30"/>
  <c r="X113" i="30"/>
  <c r="N113" i="30"/>
  <c r="L113" i="30"/>
  <c r="B113" i="30"/>
  <c r="X112" i="30"/>
  <c r="V112" i="30"/>
  <c r="T112" i="30"/>
  <c r="Z112" i="30" s="1"/>
  <c r="P112" i="30"/>
  <c r="L112" i="30"/>
  <c r="H112" i="30"/>
  <c r="N112" i="30" s="1"/>
  <c r="D112" i="30"/>
  <c r="B112" i="30"/>
  <c r="X111" i="30"/>
  <c r="Z111" i="30" s="1"/>
  <c r="N111" i="30"/>
  <c r="L111" i="30"/>
  <c r="J111" i="30"/>
  <c r="B111" i="30"/>
  <c r="X110" i="30"/>
  <c r="Z110" i="30" s="1"/>
  <c r="T110" i="30"/>
  <c r="P110" i="30"/>
  <c r="H110" i="30"/>
  <c r="D110" i="30"/>
  <c r="L110" i="30" s="1"/>
  <c r="B110" i="30"/>
  <c r="Z109" i="30"/>
  <c r="X109" i="30"/>
  <c r="N109" i="30"/>
  <c r="L109" i="30"/>
  <c r="B109" i="30"/>
  <c r="T108" i="30"/>
  <c r="V108" i="30" s="1"/>
  <c r="P108" i="30"/>
  <c r="X108" i="30" s="1"/>
  <c r="N108" i="30"/>
  <c r="H108" i="30"/>
  <c r="D108" i="30"/>
  <c r="L108" i="30" s="1"/>
  <c r="B108" i="30"/>
  <c r="X107" i="30"/>
  <c r="Z107" i="30" s="1"/>
  <c r="V107" i="30"/>
  <c r="L107" i="30"/>
  <c r="N107" i="30" s="1"/>
  <c r="B107" i="30"/>
  <c r="X106" i="30"/>
  <c r="T106" i="30"/>
  <c r="Z106" i="30" s="1"/>
  <c r="P106" i="30"/>
  <c r="L106" i="30"/>
  <c r="J106" i="30"/>
  <c r="H106" i="30"/>
  <c r="N106" i="30" s="1"/>
  <c r="D106" i="30"/>
  <c r="B106" i="30"/>
  <c r="Z105" i="30"/>
  <c r="X105" i="30"/>
  <c r="N105" i="30"/>
  <c r="L105" i="30"/>
  <c r="J105" i="30"/>
  <c r="B105" i="30"/>
  <c r="T104" i="30"/>
  <c r="P104" i="30"/>
  <c r="X104" i="30" s="1"/>
  <c r="L104" i="30"/>
  <c r="N104" i="30" s="1"/>
  <c r="H104" i="30"/>
  <c r="D104" i="30"/>
  <c r="B104" i="30"/>
  <c r="Z103" i="30"/>
  <c r="X103" i="30"/>
  <c r="V103" i="30"/>
  <c r="L103" i="30"/>
  <c r="N103" i="30" s="1"/>
  <c r="J103" i="30"/>
  <c r="B103" i="30"/>
  <c r="T102" i="30"/>
  <c r="P102" i="30"/>
  <c r="X102" i="30" s="1"/>
  <c r="Z102" i="30" s="1"/>
  <c r="H102" i="30"/>
  <c r="J102" i="30" s="1"/>
  <c r="D102" i="30"/>
  <c r="L102" i="30" s="1"/>
  <c r="B102" i="30"/>
  <c r="Z101" i="30"/>
  <c r="X101" i="30"/>
  <c r="N101" i="30"/>
  <c r="L101" i="30"/>
  <c r="B101" i="30"/>
  <c r="X100" i="30"/>
  <c r="V100" i="30"/>
  <c r="T100" i="30"/>
  <c r="Z100" i="30" s="1"/>
  <c r="P100" i="30"/>
  <c r="L100" i="30"/>
  <c r="H100" i="30"/>
  <c r="D100" i="30"/>
  <c r="B100" i="30"/>
  <c r="Z99" i="30"/>
  <c r="X99" i="30"/>
  <c r="N99" i="30"/>
  <c r="L99" i="30"/>
  <c r="J99" i="30"/>
  <c r="B99" i="30"/>
  <c r="Z98" i="30"/>
  <c r="X98" i="30"/>
  <c r="N98" i="30"/>
  <c r="L98" i="30"/>
  <c r="B98" i="30"/>
  <c r="Z97" i="30"/>
  <c r="X97" i="30"/>
  <c r="V97" i="30"/>
  <c r="N97" i="30"/>
  <c r="L97" i="30"/>
  <c r="J97" i="30"/>
  <c r="B97" i="30"/>
  <c r="X96" i="30"/>
  <c r="Z96" i="30" s="1"/>
  <c r="N96" i="30"/>
  <c r="L96" i="30"/>
  <c r="J96" i="30"/>
  <c r="B96" i="30"/>
  <c r="Z95" i="30"/>
  <c r="X95" i="30"/>
  <c r="N95" i="30"/>
  <c r="L95" i="30"/>
  <c r="J95" i="30"/>
  <c r="B95" i="30"/>
  <c r="Z94" i="30"/>
  <c r="X94" i="30"/>
  <c r="N94" i="30"/>
  <c r="L94" i="30"/>
  <c r="B94" i="30"/>
  <c r="Z93" i="30"/>
  <c r="X93" i="30"/>
  <c r="V93" i="30"/>
  <c r="N93" i="30"/>
  <c r="L93" i="30"/>
  <c r="J93" i="30"/>
  <c r="B93" i="30"/>
  <c r="Z92" i="30"/>
  <c r="X92" i="30"/>
  <c r="N92" i="30"/>
  <c r="L92" i="30"/>
  <c r="J92" i="30"/>
  <c r="B92" i="30"/>
  <c r="X91" i="30"/>
  <c r="Z91" i="30" s="1"/>
  <c r="N91" i="30"/>
  <c r="L91" i="30"/>
  <c r="J91" i="30"/>
  <c r="B91" i="30"/>
  <c r="Z90" i="30"/>
  <c r="X90" i="30"/>
  <c r="N90" i="30"/>
  <c r="L90" i="30"/>
  <c r="B90" i="30"/>
  <c r="T89" i="30"/>
  <c r="V89" i="30" s="1"/>
  <c r="P89" i="30"/>
  <c r="X89" i="30" s="1"/>
  <c r="Z89" i="30" s="1"/>
  <c r="L89" i="30"/>
  <c r="N89" i="30" s="1"/>
  <c r="J89" i="30"/>
  <c r="H89" i="30"/>
  <c r="D89" i="30"/>
  <c r="B89" i="30"/>
  <c r="X88" i="30"/>
  <c r="Z88" i="30" s="1"/>
  <c r="V88" i="30"/>
  <c r="L88" i="30"/>
  <c r="N88" i="30" s="1"/>
  <c r="J88" i="30"/>
  <c r="B88" i="30"/>
  <c r="Z87" i="30"/>
  <c r="X87" i="30"/>
  <c r="V87" i="30"/>
  <c r="L87" i="30"/>
  <c r="N87" i="30" s="1"/>
  <c r="J87" i="30"/>
  <c r="B87" i="30"/>
  <c r="Z86" i="30"/>
  <c r="X86" i="30"/>
  <c r="L86" i="30"/>
  <c r="N86" i="30" s="1"/>
  <c r="B86" i="30"/>
  <c r="Z85" i="30"/>
  <c r="X85" i="30"/>
  <c r="V85" i="30"/>
  <c r="N85" i="30"/>
  <c r="L85" i="30"/>
  <c r="B85" i="30"/>
  <c r="X84" i="30"/>
  <c r="Z84" i="30" s="1"/>
  <c r="V84" i="30"/>
  <c r="L84" i="30"/>
  <c r="N84" i="30" s="1"/>
  <c r="J84" i="30"/>
  <c r="B84" i="30"/>
  <c r="Z83" i="30"/>
  <c r="X83" i="30"/>
  <c r="V83" i="30"/>
  <c r="L83" i="30"/>
  <c r="N83" i="30" s="1"/>
  <c r="J83" i="30"/>
  <c r="B83" i="30"/>
  <c r="Z82" i="30"/>
  <c r="X82" i="30"/>
  <c r="L82" i="30"/>
  <c r="N82" i="30" s="1"/>
  <c r="B82" i="30"/>
  <c r="Z81" i="30"/>
  <c r="X81" i="30"/>
  <c r="V81" i="30"/>
  <c r="N81" i="30"/>
  <c r="L81" i="30"/>
  <c r="B81" i="30"/>
  <c r="X80" i="30"/>
  <c r="Z80" i="30" s="1"/>
  <c r="V80" i="30"/>
  <c r="L80" i="30"/>
  <c r="N80" i="30" s="1"/>
  <c r="J80" i="30"/>
  <c r="B80" i="30"/>
  <c r="V79" i="30"/>
  <c r="T79" i="30"/>
  <c r="P79" i="30"/>
  <c r="X79" i="30" s="1"/>
  <c r="Z79" i="30" s="1"/>
  <c r="H79" i="30"/>
  <c r="D79" i="30"/>
  <c r="L79" i="30" s="1"/>
  <c r="B79" i="30"/>
  <c r="X78" i="30"/>
  <c r="T78" i="30"/>
  <c r="P78" i="30"/>
  <c r="H78" i="30"/>
  <c r="J78" i="30" s="1"/>
  <c r="D78" i="30"/>
  <c r="Z74" i="30"/>
  <c r="X74" i="30"/>
  <c r="N74" i="30"/>
  <c r="L74" i="30"/>
  <c r="B74" i="30"/>
  <c r="Z73" i="30"/>
  <c r="X73" i="30"/>
  <c r="N73" i="30"/>
  <c r="L73" i="30"/>
  <c r="J73" i="30"/>
  <c r="B73" i="30"/>
  <c r="Z72" i="30"/>
  <c r="X72" i="30"/>
  <c r="V72" i="30"/>
  <c r="N72" i="30"/>
  <c r="L72" i="30"/>
  <c r="B72" i="30"/>
  <c r="Z71" i="30"/>
  <c r="X71" i="30"/>
  <c r="V71" i="30"/>
  <c r="N71" i="30"/>
  <c r="L71" i="30"/>
  <c r="J71" i="30"/>
  <c r="B71" i="30"/>
  <c r="Z70" i="30"/>
  <c r="X70" i="30"/>
  <c r="N70" i="30"/>
  <c r="L70" i="30"/>
  <c r="B70" i="30"/>
  <c r="Z69" i="30"/>
  <c r="X69" i="30"/>
  <c r="V69" i="30"/>
  <c r="N69" i="30"/>
  <c r="L69" i="30"/>
  <c r="J69" i="30"/>
  <c r="B69" i="30"/>
  <c r="Z68" i="30"/>
  <c r="X68" i="30"/>
  <c r="V68" i="30"/>
  <c r="N68" i="30"/>
  <c r="L68" i="30"/>
  <c r="B68" i="30"/>
  <c r="Z67" i="30"/>
  <c r="X67" i="30"/>
  <c r="V67" i="30"/>
  <c r="N67" i="30"/>
  <c r="L67" i="30"/>
  <c r="J67" i="30"/>
  <c r="B67" i="30"/>
  <c r="Z66" i="30"/>
  <c r="X66" i="30"/>
  <c r="N66" i="30"/>
  <c r="L66" i="30"/>
  <c r="B66" i="30"/>
  <c r="Z65" i="30"/>
  <c r="X65" i="30"/>
  <c r="V65" i="30"/>
  <c r="N65" i="30"/>
  <c r="L65" i="30"/>
  <c r="J65" i="30"/>
  <c r="B65" i="30"/>
  <c r="Z64" i="30"/>
  <c r="X64" i="30"/>
  <c r="V64" i="30"/>
  <c r="N64" i="30"/>
  <c r="L64" i="30"/>
  <c r="B64" i="30"/>
  <c r="Z63" i="30"/>
  <c r="X63" i="30"/>
  <c r="V63" i="30"/>
  <c r="N63" i="30"/>
  <c r="L63" i="30"/>
  <c r="J63" i="30"/>
  <c r="B63" i="30"/>
  <c r="Z62" i="30"/>
  <c r="X62" i="30"/>
  <c r="N62" i="30"/>
  <c r="L62" i="30"/>
  <c r="B62" i="30"/>
  <c r="Z61" i="30"/>
  <c r="X61" i="30"/>
  <c r="V61" i="30"/>
  <c r="N61" i="30"/>
  <c r="L61" i="30"/>
  <c r="J61" i="30"/>
  <c r="B61" i="30"/>
  <c r="Z60" i="30"/>
  <c r="X60" i="30"/>
  <c r="V60" i="30"/>
  <c r="N60" i="30"/>
  <c r="L60" i="30"/>
  <c r="B60" i="30"/>
  <c r="Z59" i="30"/>
  <c r="X59" i="30"/>
  <c r="V59" i="30"/>
  <c r="N59" i="30"/>
  <c r="L59" i="30"/>
  <c r="J59" i="30"/>
  <c r="B59" i="30"/>
  <c r="Z58" i="30"/>
  <c r="X58" i="30"/>
  <c r="N58" i="30"/>
  <c r="L58" i="30"/>
  <c r="B58" i="30"/>
  <c r="Z57" i="30"/>
  <c r="X57" i="30"/>
  <c r="V57" i="30"/>
  <c r="N57" i="30"/>
  <c r="L57" i="30"/>
  <c r="J57" i="30"/>
  <c r="B57" i="30"/>
  <c r="Z56" i="30"/>
  <c r="X56" i="30"/>
  <c r="V56" i="30"/>
  <c r="N56" i="30"/>
  <c r="L56" i="30"/>
  <c r="B56" i="30"/>
  <c r="Z55" i="30"/>
  <c r="X55" i="30"/>
  <c r="V55" i="30"/>
  <c r="N55" i="30"/>
  <c r="L55" i="30"/>
  <c r="J55" i="30"/>
  <c r="B55" i="30"/>
  <c r="Z54" i="30"/>
  <c r="X54" i="30"/>
  <c r="N54" i="30"/>
  <c r="L54" i="30"/>
  <c r="B54" i="30"/>
  <c r="Z53" i="30"/>
  <c r="X53" i="30"/>
  <c r="V53" i="30"/>
  <c r="N53" i="30"/>
  <c r="L53" i="30"/>
  <c r="J53" i="30"/>
  <c r="B53" i="30"/>
  <c r="V52" i="30"/>
  <c r="T52" i="30"/>
  <c r="T76" i="30" s="1"/>
  <c r="P52" i="30"/>
  <c r="H52" i="30"/>
  <c r="H76" i="30" s="1"/>
  <c r="D52" i="30"/>
  <c r="L52" i="30" s="1"/>
  <c r="Z50" i="30"/>
  <c r="P50" i="30"/>
  <c r="X50" i="30" s="1"/>
  <c r="N50" i="30"/>
  <c r="D50" i="30"/>
  <c r="L50" i="30" s="1"/>
  <c r="B50" i="30"/>
  <c r="Z49" i="30"/>
  <c r="P49" i="30"/>
  <c r="X49" i="30" s="1"/>
  <c r="N49" i="30"/>
  <c r="L49" i="30"/>
  <c r="D49" i="30"/>
  <c r="B49" i="30"/>
  <c r="Z48" i="30"/>
  <c r="X48" i="30"/>
  <c r="P48" i="30"/>
  <c r="N48" i="30"/>
  <c r="D48" i="30"/>
  <c r="L48" i="30" s="1"/>
  <c r="B48" i="30"/>
  <c r="Z47" i="30"/>
  <c r="P47" i="30"/>
  <c r="X47" i="30" s="1"/>
  <c r="N47" i="30"/>
  <c r="D47" i="30"/>
  <c r="L47" i="30" s="1"/>
  <c r="B47" i="30"/>
  <c r="Z46" i="30"/>
  <c r="X46" i="30"/>
  <c r="P46" i="30"/>
  <c r="N46" i="30"/>
  <c r="D46" i="30"/>
  <c r="L46" i="30" s="1"/>
  <c r="B46" i="30"/>
  <c r="Z45" i="30"/>
  <c r="P45" i="30"/>
  <c r="X45" i="30" s="1"/>
  <c r="N45" i="30"/>
  <c r="L45" i="30"/>
  <c r="D45" i="30"/>
  <c r="B45" i="30"/>
  <c r="Z44" i="30"/>
  <c r="X44" i="30"/>
  <c r="P44" i="30"/>
  <c r="N44" i="30"/>
  <c r="D44" i="30"/>
  <c r="L44" i="30" s="1"/>
  <c r="B44" i="30"/>
  <c r="Z43" i="30"/>
  <c r="X43" i="30"/>
  <c r="P43" i="30"/>
  <c r="N43" i="30"/>
  <c r="L43" i="30"/>
  <c r="D43" i="30"/>
  <c r="B43" i="30"/>
  <c r="Z42" i="30"/>
  <c r="P42" i="30"/>
  <c r="X42" i="30" s="1"/>
  <c r="N42" i="30"/>
  <c r="D42" i="30"/>
  <c r="L42" i="30" s="1"/>
  <c r="B42" i="30"/>
  <c r="Z41" i="30"/>
  <c r="P41" i="30"/>
  <c r="X41" i="30" s="1"/>
  <c r="N41" i="30"/>
  <c r="L41" i="30"/>
  <c r="D41" i="30"/>
  <c r="B41" i="30"/>
  <c r="Z40" i="30"/>
  <c r="X40" i="30"/>
  <c r="P40" i="30"/>
  <c r="N40" i="30"/>
  <c r="L40" i="30"/>
  <c r="D40" i="30"/>
  <c r="B40" i="30"/>
  <c r="Z39" i="30"/>
  <c r="P39" i="30"/>
  <c r="X39" i="30" s="1"/>
  <c r="N39" i="30"/>
  <c r="D39" i="30"/>
  <c r="L39" i="30" s="1"/>
  <c r="B39" i="30"/>
  <c r="Z38" i="30"/>
  <c r="P38" i="30"/>
  <c r="X38" i="30" s="1"/>
  <c r="N38" i="30"/>
  <c r="D38" i="30"/>
  <c r="L38" i="30" s="1"/>
  <c r="B38" i="30"/>
  <c r="Z37" i="30"/>
  <c r="P37" i="30"/>
  <c r="X37" i="30" s="1"/>
  <c r="N37" i="30"/>
  <c r="L37" i="30"/>
  <c r="D37" i="30"/>
  <c r="B37" i="30"/>
  <c r="Z36" i="30"/>
  <c r="X36" i="30"/>
  <c r="P36" i="30"/>
  <c r="N36" i="30"/>
  <c r="D36" i="30"/>
  <c r="L36" i="30" s="1"/>
  <c r="B36" i="30"/>
  <c r="Z35" i="30"/>
  <c r="P35" i="30"/>
  <c r="X35" i="30" s="1"/>
  <c r="N35" i="30"/>
  <c r="D35" i="30"/>
  <c r="L35" i="30" s="1"/>
  <c r="B35" i="30"/>
  <c r="Z34" i="30"/>
  <c r="X34" i="30"/>
  <c r="P34" i="30"/>
  <c r="N34" i="30"/>
  <c r="D34" i="30"/>
  <c r="L34" i="30" s="1"/>
  <c r="B34" i="30"/>
  <c r="Z33" i="30"/>
  <c r="P33" i="30"/>
  <c r="X33" i="30" s="1"/>
  <c r="N33" i="30"/>
  <c r="L33" i="30"/>
  <c r="D33" i="30"/>
  <c r="B33" i="30"/>
  <c r="Z32" i="30"/>
  <c r="X32" i="30"/>
  <c r="P32" i="30"/>
  <c r="N32" i="30"/>
  <c r="D32" i="30"/>
  <c r="L32" i="30" s="1"/>
  <c r="B32" i="30"/>
  <c r="Z31" i="30"/>
  <c r="X31" i="30"/>
  <c r="P31" i="30"/>
  <c r="N31" i="30"/>
  <c r="L31" i="30"/>
  <c r="D31" i="30"/>
  <c r="B31" i="30"/>
  <c r="Z30" i="30"/>
  <c r="P30" i="30"/>
  <c r="X30" i="30" s="1"/>
  <c r="N30" i="30"/>
  <c r="D30" i="30"/>
  <c r="L30" i="30" s="1"/>
  <c r="B30" i="30"/>
  <c r="Z29" i="30"/>
  <c r="P29" i="30"/>
  <c r="X29" i="30" s="1"/>
  <c r="N29" i="30"/>
  <c r="L29" i="30"/>
  <c r="D29" i="30"/>
  <c r="B29" i="30"/>
  <c r="Z28" i="30"/>
  <c r="X28" i="30"/>
  <c r="P28" i="30"/>
  <c r="N28" i="30"/>
  <c r="L28" i="30"/>
  <c r="D28" i="30"/>
  <c r="B28" i="30"/>
  <c r="Z27" i="30"/>
  <c r="P27" i="30"/>
  <c r="X27" i="30" s="1"/>
  <c r="N27" i="30"/>
  <c r="D27" i="30"/>
  <c r="L27" i="30" s="1"/>
  <c r="B27" i="30"/>
  <c r="Z26" i="30"/>
  <c r="P26" i="30"/>
  <c r="X26" i="30" s="1"/>
  <c r="N26" i="30"/>
  <c r="D26" i="30"/>
  <c r="L26" i="30" s="1"/>
  <c r="B26" i="30"/>
  <c r="Z25" i="30"/>
  <c r="P25" i="30"/>
  <c r="X25" i="30" s="1"/>
  <c r="N25" i="30"/>
  <c r="L25" i="30"/>
  <c r="D25" i="30"/>
  <c r="B25" i="30"/>
  <c r="Z24" i="30"/>
  <c r="X24" i="30"/>
  <c r="P24" i="30"/>
  <c r="N24" i="30"/>
  <c r="D24" i="30"/>
  <c r="L24" i="30" s="1"/>
  <c r="B24" i="30"/>
  <c r="Z23" i="30"/>
  <c r="P23" i="30"/>
  <c r="X23" i="30" s="1"/>
  <c r="N23" i="30"/>
  <c r="D23" i="30"/>
  <c r="L23" i="30" s="1"/>
  <c r="B23" i="30"/>
  <c r="Z22" i="30"/>
  <c r="X22" i="30"/>
  <c r="P22" i="30"/>
  <c r="N22" i="30"/>
  <c r="D22" i="30"/>
  <c r="L22" i="30" s="1"/>
  <c r="B22" i="30"/>
  <c r="Z21" i="30"/>
  <c r="P21" i="30"/>
  <c r="X21" i="30" s="1"/>
  <c r="N21" i="30"/>
  <c r="L21" i="30"/>
  <c r="D21" i="30"/>
  <c r="B21" i="30"/>
  <c r="Z20" i="30"/>
  <c r="X20" i="30"/>
  <c r="P20" i="30"/>
  <c r="N20" i="30"/>
  <c r="L20" i="30"/>
  <c r="D20" i="30"/>
  <c r="B20" i="30"/>
  <c r="Z19" i="30"/>
  <c r="X19" i="30"/>
  <c r="P19" i="30"/>
  <c r="N19" i="30"/>
  <c r="L19" i="30"/>
  <c r="D19" i="30"/>
  <c r="B19" i="30"/>
  <c r="Z18" i="30"/>
  <c r="P18" i="30"/>
  <c r="X18" i="30" s="1"/>
  <c r="N18" i="30"/>
  <c r="D18" i="30"/>
  <c r="L18" i="30" s="1"/>
  <c r="B18" i="30"/>
  <c r="Z17" i="30"/>
  <c r="P17" i="30"/>
  <c r="X17" i="30" s="1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P14" i="30"/>
  <c r="X14" i="30" s="1"/>
  <c r="N14" i="30"/>
  <c r="D14" i="30"/>
  <c r="L14" i="30" s="1"/>
  <c r="B14" i="30"/>
  <c r="P13" i="30"/>
  <c r="L13" i="30"/>
  <c r="N13" i="30" s="1"/>
  <c r="D13" i="30"/>
  <c r="B13" i="30"/>
  <c r="T12" i="30"/>
  <c r="V157" i="30" s="1"/>
  <c r="H12" i="30"/>
  <c r="D4" i="30"/>
  <c r="X114" i="27"/>
  <c r="Z114" i="27" s="1"/>
  <c r="V114" i="27"/>
  <c r="N114" i="27"/>
  <c r="L114" i="27"/>
  <c r="Z110" i="27"/>
  <c r="P110" i="27"/>
  <c r="X110" i="27" s="1"/>
  <c r="N110" i="27"/>
  <c r="L110" i="27"/>
  <c r="D110" i="27"/>
  <c r="B110" i="27"/>
  <c r="X109" i="27"/>
  <c r="Z109" i="27" s="1"/>
  <c r="P109" i="27"/>
  <c r="N109" i="27"/>
  <c r="D109" i="27"/>
  <c r="L109" i="27" s="1"/>
  <c r="B109" i="27"/>
  <c r="P108" i="27"/>
  <c r="X108" i="27" s="1"/>
  <c r="Z108" i="27" s="1"/>
  <c r="L108" i="27"/>
  <c r="N108" i="27" s="1"/>
  <c r="J108" i="27"/>
  <c r="D108" i="27"/>
  <c r="B108" i="27"/>
  <c r="T107" i="27"/>
  <c r="H107" i="27"/>
  <c r="Z105" i="27"/>
  <c r="X105" i="27"/>
  <c r="N105" i="27"/>
  <c r="L105" i="27"/>
  <c r="B105" i="27"/>
  <c r="Z104" i="27"/>
  <c r="T104" i="27"/>
  <c r="P104" i="27"/>
  <c r="X104" i="27" s="1"/>
  <c r="N104" i="27"/>
  <c r="L104" i="27"/>
  <c r="H104" i="27"/>
  <c r="D104" i="27"/>
  <c r="B104" i="27"/>
  <c r="X103" i="27"/>
  <c r="Z103" i="27" s="1"/>
  <c r="L103" i="27"/>
  <c r="N103" i="27" s="1"/>
  <c r="B103" i="27"/>
  <c r="Z102" i="27"/>
  <c r="X102" i="27"/>
  <c r="N102" i="27"/>
  <c r="L102" i="27"/>
  <c r="B102" i="27"/>
  <c r="T101" i="27"/>
  <c r="P101" i="27"/>
  <c r="X101" i="27" s="1"/>
  <c r="L101" i="27"/>
  <c r="H101" i="27"/>
  <c r="D101" i="27"/>
  <c r="B101" i="27"/>
  <c r="Z100" i="27"/>
  <c r="X100" i="27"/>
  <c r="N100" i="27"/>
  <c r="L100" i="27"/>
  <c r="B100" i="27"/>
  <c r="X99" i="27"/>
  <c r="Z99" i="27" s="1"/>
  <c r="L99" i="27"/>
  <c r="N99" i="27" s="1"/>
  <c r="B99" i="27"/>
  <c r="Z98" i="27"/>
  <c r="X98" i="27"/>
  <c r="L98" i="27"/>
  <c r="N98" i="27" s="1"/>
  <c r="J98" i="27"/>
  <c r="B98" i="27"/>
  <c r="T97" i="27"/>
  <c r="Z97" i="27" s="1"/>
  <c r="P97" i="27"/>
  <c r="X97" i="27" s="1"/>
  <c r="H97" i="27"/>
  <c r="D97" i="27"/>
  <c r="L97" i="27" s="1"/>
  <c r="B97" i="27"/>
  <c r="Z96" i="27"/>
  <c r="X96" i="27"/>
  <c r="N96" i="27"/>
  <c r="L96" i="27"/>
  <c r="B96" i="27"/>
  <c r="T95" i="27"/>
  <c r="P95" i="27"/>
  <c r="L95" i="27"/>
  <c r="H95" i="27"/>
  <c r="D95" i="27"/>
  <c r="B95" i="27"/>
  <c r="X94" i="27"/>
  <c r="Z94" i="27" s="1"/>
  <c r="N94" i="27"/>
  <c r="L94" i="27"/>
  <c r="B94" i="27"/>
  <c r="X93" i="27"/>
  <c r="Z93" i="27" s="1"/>
  <c r="L93" i="27"/>
  <c r="N93" i="27" s="1"/>
  <c r="B93" i="27"/>
  <c r="Z92" i="27"/>
  <c r="T92" i="27"/>
  <c r="X92" i="27" s="1"/>
  <c r="P92" i="27"/>
  <c r="L92" i="27"/>
  <c r="N92" i="27" s="1"/>
  <c r="H92" i="27"/>
  <c r="D92" i="27"/>
  <c r="B92" i="27"/>
  <c r="X91" i="27"/>
  <c r="Z91" i="27" s="1"/>
  <c r="L91" i="27"/>
  <c r="N91" i="27" s="1"/>
  <c r="B91" i="27"/>
  <c r="T90" i="27"/>
  <c r="P90" i="27"/>
  <c r="X90" i="27" s="1"/>
  <c r="Z90" i="27" s="1"/>
  <c r="N90" i="27"/>
  <c r="H90" i="27"/>
  <c r="D90" i="27"/>
  <c r="L90" i="27" s="1"/>
  <c r="B90" i="27"/>
  <c r="Z89" i="27"/>
  <c r="X89" i="27"/>
  <c r="N89" i="27"/>
  <c r="L89" i="27"/>
  <c r="B89" i="27"/>
  <c r="Z88" i="27"/>
  <c r="X88" i="27"/>
  <c r="N88" i="27"/>
  <c r="L88" i="27"/>
  <c r="J88" i="27"/>
  <c r="B88" i="27"/>
  <c r="T87" i="27"/>
  <c r="P87" i="27"/>
  <c r="L87" i="27"/>
  <c r="H87" i="27"/>
  <c r="D87" i="27"/>
  <c r="B87" i="27"/>
  <c r="Z86" i="27"/>
  <c r="X86" i="27"/>
  <c r="N86" i="27"/>
  <c r="L86" i="27"/>
  <c r="B86" i="27"/>
  <c r="T85" i="27"/>
  <c r="Z85" i="27" s="1"/>
  <c r="P85" i="27"/>
  <c r="X85" i="27" s="1"/>
  <c r="L85" i="27"/>
  <c r="H85" i="27"/>
  <c r="D85" i="27"/>
  <c r="B85" i="27"/>
  <c r="Z84" i="27"/>
  <c r="X84" i="27"/>
  <c r="N84" i="27"/>
  <c r="L84" i="27"/>
  <c r="B84" i="27"/>
  <c r="X83" i="27"/>
  <c r="T83" i="27"/>
  <c r="P83" i="27"/>
  <c r="L83" i="27"/>
  <c r="N83" i="27" s="1"/>
  <c r="H83" i="27"/>
  <c r="D83" i="27"/>
  <c r="B83" i="27"/>
  <c r="Z82" i="27"/>
  <c r="X82" i="27"/>
  <c r="V82" i="27"/>
  <c r="N82" i="27"/>
  <c r="L82" i="27"/>
  <c r="B82" i="27"/>
  <c r="T81" i="27"/>
  <c r="P81" i="27"/>
  <c r="H81" i="27"/>
  <c r="D81" i="27"/>
  <c r="L81" i="27" s="1"/>
  <c r="B81" i="27"/>
  <c r="Z80" i="27"/>
  <c r="X80" i="27"/>
  <c r="V80" i="27"/>
  <c r="N80" i="27"/>
  <c r="L80" i="27"/>
  <c r="B80" i="27"/>
  <c r="T79" i="27"/>
  <c r="P79" i="27"/>
  <c r="X79" i="27" s="1"/>
  <c r="H79" i="27"/>
  <c r="D79" i="27"/>
  <c r="L79" i="27" s="1"/>
  <c r="B79" i="27"/>
  <c r="Z78" i="27"/>
  <c r="X78" i="27"/>
  <c r="V78" i="27"/>
  <c r="L78" i="27"/>
  <c r="N78" i="27" s="1"/>
  <c r="J78" i="27"/>
  <c r="B78" i="27"/>
  <c r="T77" i="27"/>
  <c r="P77" i="27"/>
  <c r="X77" i="27" s="1"/>
  <c r="H77" i="27"/>
  <c r="D77" i="27"/>
  <c r="L77" i="27" s="1"/>
  <c r="B77" i="27"/>
  <c r="Z76" i="27"/>
  <c r="X76" i="27"/>
  <c r="N76" i="27"/>
  <c r="L76" i="27"/>
  <c r="B76" i="27"/>
  <c r="Z75" i="27"/>
  <c r="X75" i="27"/>
  <c r="V75" i="27"/>
  <c r="N75" i="27"/>
  <c r="L75" i="27"/>
  <c r="B75" i="27"/>
  <c r="Z74" i="27"/>
  <c r="X74" i="27"/>
  <c r="V74" i="27"/>
  <c r="N74" i="27"/>
  <c r="L74" i="27"/>
  <c r="B74" i="27"/>
  <c r="X73" i="27"/>
  <c r="Z73" i="27" s="1"/>
  <c r="N73" i="27"/>
  <c r="L73" i="27"/>
  <c r="B73" i="27"/>
  <c r="Z72" i="27"/>
  <c r="X72" i="27"/>
  <c r="N72" i="27"/>
  <c r="L72" i="27"/>
  <c r="B72" i="27"/>
  <c r="X71" i="27"/>
  <c r="Z71" i="27" s="1"/>
  <c r="L71" i="27"/>
  <c r="N71" i="27" s="1"/>
  <c r="B71" i="27"/>
  <c r="Z70" i="27"/>
  <c r="X70" i="27"/>
  <c r="N70" i="27"/>
  <c r="L70" i="27"/>
  <c r="J70" i="27"/>
  <c r="B70" i="27"/>
  <c r="Z69" i="27"/>
  <c r="X69" i="27"/>
  <c r="N69" i="27"/>
  <c r="L69" i="27"/>
  <c r="B69" i="27"/>
  <c r="Z68" i="27"/>
  <c r="X68" i="27"/>
  <c r="N68" i="27"/>
  <c r="L68" i="27"/>
  <c r="B68" i="27"/>
  <c r="Z67" i="27"/>
  <c r="X67" i="27"/>
  <c r="N67" i="27"/>
  <c r="L67" i="27"/>
  <c r="B67" i="27"/>
  <c r="T66" i="27"/>
  <c r="P66" i="27"/>
  <c r="X66" i="27" s="1"/>
  <c r="Z66" i="27" s="1"/>
  <c r="N66" i="27"/>
  <c r="L66" i="27"/>
  <c r="H66" i="27"/>
  <c r="D66" i="27"/>
  <c r="B66" i="27"/>
  <c r="X65" i="27"/>
  <c r="Z65" i="27" s="1"/>
  <c r="L65" i="27"/>
  <c r="N65" i="27" s="1"/>
  <c r="B65" i="27"/>
  <c r="Z64" i="27"/>
  <c r="X64" i="27"/>
  <c r="N64" i="27"/>
  <c r="L64" i="27"/>
  <c r="B64" i="27"/>
  <c r="X63" i="27"/>
  <c r="Z63" i="27" s="1"/>
  <c r="L63" i="27"/>
  <c r="N63" i="27" s="1"/>
  <c r="B63" i="27"/>
  <c r="Z62" i="27"/>
  <c r="X62" i="27"/>
  <c r="N62" i="27"/>
  <c r="L62" i="27"/>
  <c r="B62" i="27"/>
  <c r="Z61" i="27"/>
  <c r="X61" i="27"/>
  <c r="N61" i="27"/>
  <c r="L61" i="27"/>
  <c r="B61" i="27"/>
  <c r="Z60" i="27"/>
  <c r="X60" i="27"/>
  <c r="V60" i="27"/>
  <c r="N60" i="27"/>
  <c r="L60" i="27"/>
  <c r="B60" i="27"/>
  <c r="X59" i="27"/>
  <c r="Z59" i="27" s="1"/>
  <c r="V59" i="27"/>
  <c r="L59" i="27"/>
  <c r="N59" i="27" s="1"/>
  <c r="B59" i="27"/>
  <c r="Z58" i="27"/>
  <c r="X58" i="27"/>
  <c r="V58" i="27"/>
  <c r="N58" i="27"/>
  <c r="L58" i="27"/>
  <c r="B58" i="27"/>
  <c r="X57" i="27"/>
  <c r="Z57" i="27" s="1"/>
  <c r="V57" i="27"/>
  <c r="L57" i="27"/>
  <c r="N57" i="27" s="1"/>
  <c r="B57" i="27"/>
  <c r="X56" i="27"/>
  <c r="Z56" i="27" s="1"/>
  <c r="V56" i="27"/>
  <c r="N56" i="27"/>
  <c r="L56" i="27"/>
  <c r="B56" i="27"/>
  <c r="X55" i="27"/>
  <c r="V55" i="27"/>
  <c r="T55" i="27"/>
  <c r="Z55" i="27" s="1"/>
  <c r="P55" i="27"/>
  <c r="L55" i="27"/>
  <c r="N55" i="27" s="1"/>
  <c r="H55" i="27"/>
  <c r="D55" i="27"/>
  <c r="B55" i="27"/>
  <c r="T54" i="27"/>
  <c r="P54" i="27"/>
  <c r="X54" i="27" s="1"/>
  <c r="Z54" i="27" s="1"/>
  <c r="H54" i="27"/>
  <c r="D54" i="27"/>
  <c r="L54" i="27" s="1"/>
  <c r="Z50" i="27"/>
  <c r="X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V47" i="27"/>
  <c r="N47" i="27"/>
  <c r="L47" i="27"/>
  <c r="B47" i="27"/>
  <c r="Z46" i="27"/>
  <c r="X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J44" i="27"/>
  <c r="B44" i="27"/>
  <c r="Z43" i="27"/>
  <c r="X43" i="27"/>
  <c r="V43" i="27"/>
  <c r="N43" i="27"/>
  <c r="L43" i="27"/>
  <c r="B43" i="27"/>
  <c r="Z42" i="27"/>
  <c r="X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J40" i="27"/>
  <c r="B40" i="27"/>
  <c r="Z39" i="27"/>
  <c r="X39" i="27"/>
  <c r="V39" i="27"/>
  <c r="N39" i="27"/>
  <c r="L39" i="27"/>
  <c r="B39" i="27"/>
  <c r="Z38" i="27"/>
  <c r="X38" i="27"/>
  <c r="N38" i="27"/>
  <c r="L38" i="27"/>
  <c r="B38" i="27"/>
  <c r="Z37" i="27"/>
  <c r="X37" i="27"/>
  <c r="N37" i="27"/>
  <c r="L37" i="27"/>
  <c r="B37" i="27"/>
  <c r="Z36" i="27"/>
  <c r="X36" i="27"/>
  <c r="N36" i="27"/>
  <c r="L36" i="27"/>
  <c r="J36" i="27"/>
  <c r="B36" i="27"/>
  <c r="V35" i="27"/>
  <c r="T35" i="27"/>
  <c r="T52" i="27" s="1"/>
  <c r="T112" i="27" s="1"/>
  <c r="P35" i="27"/>
  <c r="H35" i="27"/>
  <c r="D35" i="27"/>
  <c r="Z33" i="27"/>
  <c r="P33" i="27"/>
  <c r="X33" i="27" s="1"/>
  <c r="N33" i="27"/>
  <c r="L33" i="27"/>
  <c r="D33" i="27"/>
  <c r="B33" i="27"/>
  <c r="Z32" i="27"/>
  <c r="P32" i="27"/>
  <c r="X32" i="27" s="1"/>
  <c r="N32" i="27"/>
  <c r="D32" i="27"/>
  <c r="L32" i="27" s="1"/>
  <c r="B32" i="27"/>
  <c r="Z31" i="27"/>
  <c r="X31" i="27"/>
  <c r="P31" i="27"/>
  <c r="N31" i="27"/>
  <c r="D31" i="27"/>
  <c r="L31" i="27" s="1"/>
  <c r="B31" i="27"/>
  <c r="Z30" i="27"/>
  <c r="X30" i="27"/>
  <c r="P30" i="27"/>
  <c r="N30" i="27"/>
  <c r="D30" i="27"/>
  <c r="L30" i="27" s="1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L27" i="27"/>
  <c r="D27" i="27"/>
  <c r="B27" i="27"/>
  <c r="Z26" i="27"/>
  <c r="X26" i="27"/>
  <c r="P26" i="27"/>
  <c r="N26" i="27"/>
  <c r="L26" i="27"/>
  <c r="D26" i="27"/>
  <c r="B26" i="27"/>
  <c r="Z25" i="27"/>
  <c r="P25" i="27"/>
  <c r="X25" i="27" s="1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P23" i="27"/>
  <c r="X23" i="27" s="1"/>
  <c r="N23" i="27"/>
  <c r="L23" i="27"/>
  <c r="D23" i="27"/>
  <c r="B23" i="27"/>
  <c r="Z22" i="27"/>
  <c r="P22" i="27"/>
  <c r="X22" i="27" s="1"/>
  <c r="N22" i="27"/>
  <c r="D22" i="27"/>
  <c r="L22" i="27" s="1"/>
  <c r="B22" i="27"/>
  <c r="Z21" i="27"/>
  <c r="P21" i="27"/>
  <c r="X21" i="27" s="1"/>
  <c r="N21" i="27"/>
  <c r="L21" i="27"/>
  <c r="D21" i="27"/>
  <c r="B21" i="27"/>
  <c r="Z20" i="27"/>
  <c r="P20" i="27"/>
  <c r="X20" i="27" s="1"/>
  <c r="N20" i="27"/>
  <c r="D20" i="27"/>
  <c r="L20" i="27" s="1"/>
  <c r="B20" i="27"/>
  <c r="Z19" i="27"/>
  <c r="X19" i="27"/>
  <c r="P19" i="27"/>
  <c r="N19" i="27"/>
  <c r="D19" i="27"/>
  <c r="L19" i="27" s="1"/>
  <c r="B19" i="27"/>
  <c r="Z18" i="27"/>
  <c r="X18" i="27"/>
  <c r="P18" i="27"/>
  <c r="N18" i="27"/>
  <c r="D18" i="27"/>
  <c r="L18" i="27" s="1"/>
  <c r="B18" i="27"/>
  <c r="Z17" i="27"/>
  <c r="P17" i="27"/>
  <c r="X17" i="27" s="1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X15" i="27"/>
  <c r="P15" i="27"/>
  <c r="N15" i="27"/>
  <c r="L15" i="27"/>
  <c r="D15" i="27"/>
  <c r="B15" i="27"/>
  <c r="Z14" i="27"/>
  <c r="X14" i="27"/>
  <c r="P14" i="27"/>
  <c r="N14" i="27"/>
  <c r="L14" i="27"/>
  <c r="D14" i="27"/>
  <c r="B14" i="27"/>
  <c r="P13" i="27"/>
  <c r="D13" i="27"/>
  <c r="L13" i="27" s="1"/>
  <c r="N13" i="27" s="1"/>
  <c r="B13" i="27"/>
  <c r="T12" i="27"/>
  <c r="V95" i="27" s="1"/>
  <c r="H12" i="27"/>
  <c r="D4" i="27"/>
  <c r="Z94" i="24"/>
  <c r="X94" i="24"/>
  <c r="L94" i="24"/>
  <c r="N94" i="24" s="1"/>
  <c r="Z90" i="24"/>
  <c r="T90" i="24"/>
  <c r="P90" i="24"/>
  <c r="X90" i="24" s="1"/>
  <c r="H90" i="24"/>
  <c r="N90" i="24" s="1"/>
  <c r="D90" i="24"/>
  <c r="L90" i="24" s="1"/>
  <c r="Z88" i="24"/>
  <c r="X88" i="24"/>
  <c r="N88" i="24"/>
  <c r="L88" i="24"/>
  <c r="B88" i="24"/>
  <c r="T87" i="24"/>
  <c r="P87" i="24"/>
  <c r="X87" i="24" s="1"/>
  <c r="N87" i="24"/>
  <c r="L87" i="24"/>
  <c r="H87" i="24"/>
  <c r="D87" i="24"/>
  <c r="B87" i="24"/>
  <c r="Z86" i="24"/>
  <c r="X86" i="24"/>
  <c r="V86" i="24"/>
  <c r="N86" i="24"/>
  <c r="L86" i="24"/>
  <c r="B86" i="24"/>
  <c r="X85" i="24"/>
  <c r="Z85" i="24" s="1"/>
  <c r="L85" i="24"/>
  <c r="N85" i="24" s="1"/>
  <c r="B85" i="24"/>
  <c r="T84" i="24"/>
  <c r="P84" i="24"/>
  <c r="X84" i="24" s="1"/>
  <c r="Z84" i="24" s="1"/>
  <c r="L84" i="24"/>
  <c r="J84" i="24"/>
  <c r="H84" i="24"/>
  <c r="N84" i="24" s="1"/>
  <c r="D84" i="24"/>
  <c r="B84" i="24"/>
  <c r="Z83" i="24"/>
  <c r="X83" i="24"/>
  <c r="N83" i="24"/>
  <c r="L83" i="24"/>
  <c r="J83" i="24"/>
  <c r="F83" i="24"/>
  <c r="B83" i="24"/>
  <c r="X82" i="24"/>
  <c r="Z82" i="24" s="1"/>
  <c r="N82" i="24"/>
  <c r="L82" i="24"/>
  <c r="B82" i="24"/>
  <c r="Z81" i="24"/>
  <c r="X81" i="24"/>
  <c r="N81" i="24"/>
  <c r="L81" i="24"/>
  <c r="B81" i="24"/>
  <c r="X80" i="24"/>
  <c r="Z80" i="24" s="1"/>
  <c r="N80" i="24"/>
  <c r="L80" i="24"/>
  <c r="B80" i="24"/>
  <c r="Z79" i="24"/>
  <c r="X79" i="24"/>
  <c r="T79" i="24"/>
  <c r="P79" i="24"/>
  <c r="N79" i="24"/>
  <c r="L79" i="24"/>
  <c r="H79" i="24"/>
  <c r="D79" i="24"/>
  <c r="B79" i="24"/>
  <c r="Z78" i="24"/>
  <c r="X78" i="24"/>
  <c r="L78" i="24"/>
  <c r="N78" i="24" s="1"/>
  <c r="J78" i="24"/>
  <c r="B78" i="24"/>
  <c r="Z77" i="24"/>
  <c r="X77" i="24"/>
  <c r="N77" i="24"/>
  <c r="L77" i="24"/>
  <c r="B77" i="24"/>
  <c r="Z76" i="24"/>
  <c r="T76" i="24"/>
  <c r="P76" i="24"/>
  <c r="X76" i="24" s="1"/>
  <c r="H76" i="24"/>
  <c r="N76" i="24" s="1"/>
  <c r="D76" i="24"/>
  <c r="L76" i="24" s="1"/>
  <c r="B76" i="24"/>
  <c r="X75" i="24"/>
  <c r="Z75" i="24" s="1"/>
  <c r="N75" i="24"/>
  <c r="L75" i="24"/>
  <c r="B75" i="24"/>
  <c r="Z74" i="24"/>
  <c r="X74" i="24"/>
  <c r="V74" i="24"/>
  <c r="N74" i="24"/>
  <c r="L74" i="24"/>
  <c r="B74" i="24"/>
  <c r="T73" i="24"/>
  <c r="P73" i="24"/>
  <c r="X73" i="24" s="1"/>
  <c r="Z73" i="24" s="1"/>
  <c r="H73" i="24"/>
  <c r="D73" i="24"/>
  <c r="L73" i="24" s="1"/>
  <c r="B73" i="24"/>
  <c r="X72" i="24"/>
  <c r="Z72" i="24" s="1"/>
  <c r="N72" i="24"/>
  <c r="L72" i="24"/>
  <c r="B72" i="24"/>
  <c r="Z71" i="24"/>
  <c r="X71" i="24"/>
  <c r="T71" i="24"/>
  <c r="P71" i="24"/>
  <c r="N71" i="24"/>
  <c r="L71" i="24"/>
  <c r="H71" i="24"/>
  <c r="D71" i="24"/>
  <c r="B71" i="24"/>
  <c r="Z70" i="24"/>
  <c r="X70" i="24"/>
  <c r="N70" i="24"/>
  <c r="L70" i="24"/>
  <c r="J70" i="24"/>
  <c r="B70" i="24"/>
  <c r="X69" i="24"/>
  <c r="Z69" i="24" s="1"/>
  <c r="T69" i="24"/>
  <c r="P69" i="24"/>
  <c r="J69" i="24"/>
  <c r="H69" i="24"/>
  <c r="N69" i="24" s="1"/>
  <c r="D69" i="24"/>
  <c r="L69" i="24" s="1"/>
  <c r="B69" i="24"/>
  <c r="Z68" i="24"/>
  <c r="X68" i="24"/>
  <c r="L68" i="24"/>
  <c r="N68" i="24" s="1"/>
  <c r="B68" i="24"/>
  <c r="T67" i="24"/>
  <c r="Z67" i="24" s="1"/>
  <c r="P67" i="24"/>
  <c r="X67" i="24" s="1"/>
  <c r="H67" i="24"/>
  <c r="F67" i="24"/>
  <c r="D67" i="24"/>
  <c r="L67" i="24" s="1"/>
  <c r="N67" i="24" s="1"/>
  <c r="B67" i="24"/>
  <c r="Z66" i="24"/>
  <c r="X66" i="24"/>
  <c r="V66" i="24"/>
  <c r="N66" i="24"/>
  <c r="L66" i="24"/>
  <c r="B66" i="24"/>
  <c r="Z65" i="24"/>
  <c r="X65" i="24"/>
  <c r="L65" i="24"/>
  <c r="N65" i="24" s="1"/>
  <c r="B65" i="24"/>
  <c r="T64" i="24"/>
  <c r="P64" i="24"/>
  <c r="J64" i="24"/>
  <c r="H64" i="24"/>
  <c r="D64" i="24"/>
  <c r="B64" i="24"/>
  <c r="Z63" i="24"/>
  <c r="X63" i="24"/>
  <c r="V63" i="24"/>
  <c r="L63" i="24"/>
  <c r="N63" i="24" s="1"/>
  <c r="B63" i="24"/>
  <c r="T62" i="24"/>
  <c r="P62" i="24"/>
  <c r="X62" i="24" s="1"/>
  <c r="N62" i="24"/>
  <c r="H62" i="24"/>
  <c r="D62" i="24"/>
  <c r="L62" i="24" s="1"/>
  <c r="B62" i="24"/>
  <c r="Z61" i="24"/>
  <c r="X61" i="24"/>
  <c r="N61" i="24"/>
  <c r="L61" i="24"/>
  <c r="B61" i="24"/>
  <c r="Z60" i="24"/>
  <c r="T60" i="24"/>
  <c r="P60" i="24"/>
  <c r="X60" i="24" s="1"/>
  <c r="L60" i="24"/>
  <c r="J60" i="24"/>
  <c r="H60" i="24"/>
  <c r="N60" i="24" s="1"/>
  <c r="D60" i="24"/>
  <c r="B60" i="24"/>
  <c r="Z59" i="24"/>
  <c r="X59" i="24"/>
  <c r="N59" i="24"/>
  <c r="L59" i="24"/>
  <c r="J59" i="24"/>
  <c r="B59" i="24"/>
  <c r="V58" i="24"/>
  <c r="T58" i="24"/>
  <c r="P58" i="24"/>
  <c r="H58" i="24"/>
  <c r="D58" i="24"/>
  <c r="B58" i="24"/>
  <c r="Z57" i="24"/>
  <c r="X57" i="24"/>
  <c r="N57" i="24"/>
  <c r="L57" i="24"/>
  <c r="B57" i="24"/>
  <c r="Z56" i="24"/>
  <c r="X56" i="24"/>
  <c r="N56" i="24"/>
  <c r="L56" i="24"/>
  <c r="B56" i="24"/>
  <c r="Z55" i="24"/>
  <c r="X55" i="24"/>
  <c r="V55" i="24"/>
  <c r="N55" i="24"/>
  <c r="L55" i="24"/>
  <c r="B55" i="24"/>
  <c r="Z54" i="24"/>
  <c r="X54" i="24"/>
  <c r="N54" i="24"/>
  <c r="L54" i="24"/>
  <c r="J54" i="24"/>
  <c r="B54" i="24"/>
  <c r="Z53" i="24"/>
  <c r="X53" i="24"/>
  <c r="N53" i="24"/>
  <c r="L53" i="24"/>
  <c r="B53" i="24"/>
  <c r="Z52" i="24"/>
  <c r="X52" i="24"/>
  <c r="N52" i="24"/>
  <c r="L52" i="24"/>
  <c r="B52" i="24"/>
  <c r="Z51" i="24"/>
  <c r="X51" i="24"/>
  <c r="V51" i="24"/>
  <c r="L51" i="24"/>
  <c r="N51" i="24" s="1"/>
  <c r="B51" i="24"/>
  <c r="Z50" i="24"/>
  <c r="X50" i="24"/>
  <c r="N50" i="24"/>
  <c r="L50" i="24"/>
  <c r="J50" i="24"/>
  <c r="B50" i="24"/>
  <c r="Z49" i="24"/>
  <c r="X49" i="24"/>
  <c r="N49" i="24"/>
  <c r="L49" i="24"/>
  <c r="B49" i="24"/>
  <c r="Z48" i="24"/>
  <c r="X48" i="24"/>
  <c r="N48" i="24"/>
  <c r="L48" i="24"/>
  <c r="B48" i="24"/>
  <c r="V47" i="24"/>
  <c r="T47" i="24"/>
  <c r="P47" i="24"/>
  <c r="X47" i="24" s="1"/>
  <c r="L47" i="24"/>
  <c r="N47" i="24" s="1"/>
  <c r="H47" i="24"/>
  <c r="D47" i="24"/>
  <c r="B47" i="24"/>
  <c r="X46" i="24"/>
  <c r="Z46" i="24" s="1"/>
  <c r="V46" i="24"/>
  <c r="L46" i="24"/>
  <c r="N46" i="24" s="1"/>
  <c r="J46" i="24"/>
  <c r="B46" i="24"/>
  <c r="X45" i="24"/>
  <c r="Z45" i="24" s="1"/>
  <c r="L45" i="24"/>
  <c r="N45" i="24" s="1"/>
  <c r="B45" i="24"/>
  <c r="Z44" i="24"/>
  <c r="X44" i="24"/>
  <c r="N44" i="24"/>
  <c r="L44" i="24"/>
  <c r="B44" i="24"/>
  <c r="X43" i="24"/>
  <c r="Z43" i="24" s="1"/>
  <c r="N43" i="24"/>
  <c r="L43" i="24"/>
  <c r="B43" i="24"/>
  <c r="X42" i="24"/>
  <c r="Z42" i="24" s="1"/>
  <c r="V42" i="24"/>
  <c r="L42" i="24"/>
  <c r="N42" i="24" s="1"/>
  <c r="J42" i="24"/>
  <c r="B42" i="24"/>
  <c r="X41" i="24"/>
  <c r="Z41" i="24" s="1"/>
  <c r="L41" i="24"/>
  <c r="N41" i="24" s="1"/>
  <c r="B41" i="24"/>
  <c r="Z40" i="24"/>
  <c r="X40" i="24"/>
  <c r="L40" i="24"/>
  <c r="N40" i="24" s="1"/>
  <c r="B40" i="24"/>
  <c r="X39" i="24"/>
  <c r="Z39" i="24" s="1"/>
  <c r="N39" i="24"/>
  <c r="L39" i="24"/>
  <c r="B39" i="24"/>
  <c r="X38" i="24"/>
  <c r="V38" i="24"/>
  <c r="T38" i="24"/>
  <c r="Z38" i="24" s="1"/>
  <c r="P38" i="24"/>
  <c r="H38" i="24"/>
  <c r="D38" i="24"/>
  <c r="L38" i="24" s="1"/>
  <c r="N38" i="24" s="1"/>
  <c r="B38" i="24"/>
  <c r="T37" i="24"/>
  <c r="P37" i="24"/>
  <c r="X37" i="24" s="1"/>
  <c r="Z37" i="24" s="1"/>
  <c r="H37" i="24"/>
  <c r="D37" i="24"/>
  <c r="Z33" i="24"/>
  <c r="X33" i="24"/>
  <c r="N33" i="24"/>
  <c r="L33" i="24"/>
  <c r="B33" i="24"/>
  <c r="Z32" i="24"/>
  <c r="X32" i="24"/>
  <c r="N32" i="24"/>
  <c r="L32" i="24"/>
  <c r="B32" i="24"/>
  <c r="Z31" i="24"/>
  <c r="X31" i="24"/>
  <c r="N31" i="24"/>
  <c r="L31" i="24"/>
  <c r="J31" i="24"/>
  <c r="F31" i="24"/>
  <c r="B31" i="24"/>
  <c r="Z30" i="24"/>
  <c r="X30" i="24"/>
  <c r="V30" i="24"/>
  <c r="N30" i="24"/>
  <c r="L30" i="24"/>
  <c r="B30" i="24"/>
  <c r="Z29" i="24"/>
  <c r="X29" i="24"/>
  <c r="N29" i="24"/>
  <c r="L29" i="24"/>
  <c r="B29" i="24"/>
  <c r="Z28" i="24"/>
  <c r="X28" i="24"/>
  <c r="N28" i="24"/>
  <c r="L28" i="24"/>
  <c r="B28" i="24"/>
  <c r="Z27" i="24"/>
  <c r="X27" i="24"/>
  <c r="N27" i="24"/>
  <c r="L27" i="24"/>
  <c r="J27" i="24"/>
  <c r="F27" i="24"/>
  <c r="B27" i="24"/>
  <c r="X26" i="24"/>
  <c r="Z26" i="24" s="1"/>
  <c r="V26" i="24"/>
  <c r="L26" i="24"/>
  <c r="N26" i="24" s="1"/>
  <c r="B26" i="24"/>
  <c r="X25" i="24"/>
  <c r="Z25" i="24" s="1"/>
  <c r="T25" i="24"/>
  <c r="P25" i="24"/>
  <c r="H25" i="24"/>
  <c r="D25" i="24"/>
  <c r="L25" i="24" s="1"/>
  <c r="N25" i="24" s="1"/>
  <c r="Z23" i="24"/>
  <c r="X23" i="24"/>
  <c r="P23" i="24"/>
  <c r="N23" i="24"/>
  <c r="D23" i="24"/>
  <c r="L23" i="24" s="1"/>
  <c r="B23" i="24"/>
  <c r="Z22" i="24"/>
  <c r="P22" i="24"/>
  <c r="X22" i="24" s="1"/>
  <c r="N22" i="24"/>
  <c r="D22" i="24"/>
  <c r="L22" i="24" s="1"/>
  <c r="B22" i="24"/>
  <c r="Z21" i="24"/>
  <c r="P21" i="24"/>
  <c r="X21" i="24" s="1"/>
  <c r="N21" i="24"/>
  <c r="L21" i="24"/>
  <c r="D21" i="24"/>
  <c r="B21" i="24"/>
  <c r="X20" i="24"/>
  <c r="Z20" i="24" s="1"/>
  <c r="P20" i="24"/>
  <c r="N20" i="24"/>
  <c r="L20" i="24"/>
  <c r="D20" i="24"/>
  <c r="B20" i="24"/>
  <c r="Z19" i="24"/>
  <c r="X19" i="24"/>
  <c r="P19" i="24"/>
  <c r="N19" i="24"/>
  <c r="L19" i="24"/>
  <c r="D19" i="24"/>
  <c r="B19" i="24"/>
  <c r="Z18" i="24"/>
  <c r="X18" i="24"/>
  <c r="P18" i="24"/>
  <c r="N18" i="24"/>
  <c r="D18" i="24"/>
  <c r="L18" i="24" s="1"/>
  <c r="B18" i="24"/>
  <c r="Z17" i="24"/>
  <c r="P17" i="24"/>
  <c r="X17" i="24" s="1"/>
  <c r="N17" i="24"/>
  <c r="L17" i="24"/>
  <c r="D17" i="24"/>
  <c r="B17" i="24"/>
  <c r="Z16" i="24"/>
  <c r="P16" i="24"/>
  <c r="X16" i="24" s="1"/>
  <c r="N16" i="24"/>
  <c r="L16" i="24"/>
  <c r="D16" i="24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D14" i="24"/>
  <c r="L14" i="24" s="1"/>
  <c r="B14" i="24"/>
  <c r="Z13" i="24"/>
  <c r="P13" i="24"/>
  <c r="N13" i="24"/>
  <c r="D13" i="24"/>
  <c r="L13" i="24" s="1"/>
  <c r="B13" i="24"/>
  <c r="T12" i="24"/>
  <c r="H12" i="24"/>
  <c r="J80" i="24" s="1"/>
  <c r="D12" i="24"/>
  <c r="F68" i="24" s="1"/>
  <c r="D4" i="24"/>
  <c r="X106" i="21"/>
  <c r="Z106" i="21" s="1"/>
  <c r="L106" i="21"/>
  <c r="N106" i="21" s="1"/>
  <c r="Z102" i="21"/>
  <c r="X102" i="21"/>
  <c r="T102" i="21"/>
  <c r="P102" i="21"/>
  <c r="H102" i="21"/>
  <c r="N102" i="21" s="1"/>
  <c r="D102" i="21"/>
  <c r="L102" i="21" s="1"/>
  <c r="X100" i="21"/>
  <c r="Z100" i="21" s="1"/>
  <c r="L100" i="21"/>
  <c r="N100" i="21" s="1"/>
  <c r="B100" i="21"/>
  <c r="T99" i="21"/>
  <c r="P99" i="21"/>
  <c r="H99" i="21"/>
  <c r="N99" i="21" s="1"/>
  <c r="D99" i="21"/>
  <c r="L99" i="21" s="1"/>
  <c r="B99" i="21"/>
  <c r="Z98" i="21"/>
  <c r="X98" i="21"/>
  <c r="V98" i="21"/>
  <c r="N98" i="21"/>
  <c r="L98" i="21"/>
  <c r="B98" i="21"/>
  <c r="T97" i="21"/>
  <c r="Z97" i="21" s="1"/>
  <c r="P97" i="21"/>
  <c r="X97" i="21" s="1"/>
  <c r="N97" i="21"/>
  <c r="H97" i="21"/>
  <c r="D97" i="21"/>
  <c r="L97" i="21" s="1"/>
  <c r="B97" i="21"/>
  <c r="X96" i="21"/>
  <c r="Z96" i="21" s="1"/>
  <c r="N96" i="21"/>
  <c r="L96" i="21"/>
  <c r="B96" i="21"/>
  <c r="T95" i="21"/>
  <c r="P95" i="21"/>
  <c r="X95" i="21" s="1"/>
  <c r="Z95" i="21" s="1"/>
  <c r="L95" i="21"/>
  <c r="H95" i="21"/>
  <c r="N95" i="21" s="1"/>
  <c r="D95" i="21"/>
  <c r="B95" i="21"/>
  <c r="Z94" i="21"/>
  <c r="X94" i="21"/>
  <c r="N94" i="21"/>
  <c r="L94" i="21"/>
  <c r="B94" i="21"/>
  <c r="X93" i="21"/>
  <c r="Z93" i="21" s="1"/>
  <c r="V93" i="21"/>
  <c r="L93" i="21"/>
  <c r="N93" i="21" s="1"/>
  <c r="B93" i="21"/>
  <c r="X92" i="21"/>
  <c r="Z92" i="21" s="1"/>
  <c r="T92" i="21"/>
  <c r="P92" i="21"/>
  <c r="H92" i="21"/>
  <c r="N92" i="21" s="1"/>
  <c r="D92" i="21"/>
  <c r="L92" i="21" s="1"/>
  <c r="B92" i="21"/>
  <c r="Z91" i="21"/>
  <c r="X91" i="21"/>
  <c r="N91" i="21"/>
  <c r="L91" i="21"/>
  <c r="B91" i="21"/>
  <c r="Z90" i="21"/>
  <c r="X90" i="21"/>
  <c r="V90" i="21"/>
  <c r="N90" i="21"/>
  <c r="L90" i="21"/>
  <c r="B90" i="21"/>
  <c r="X89" i="21"/>
  <c r="Z89" i="21" s="1"/>
  <c r="L89" i="21"/>
  <c r="N89" i="21" s="1"/>
  <c r="B89" i="21"/>
  <c r="Z88" i="21"/>
  <c r="X88" i="21"/>
  <c r="N88" i="21"/>
  <c r="L88" i="21"/>
  <c r="B88" i="21"/>
  <c r="Z87" i="21"/>
  <c r="X87" i="21"/>
  <c r="N87" i="21"/>
  <c r="L87" i="21"/>
  <c r="B87" i="21"/>
  <c r="X86" i="21"/>
  <c r="Z86" i="21" s="1"/>
  <c r="L86" i="21"/>
  <c r="N86" i="21" s="1"/>
  <c r="B86" i="21"/>
  <c r="X85" i="21"/>
  <c r="Z85" i="21" s="1"/>
  <c r="L85" i="21"/>
  <c r="N85" i="21" s="1"/>
  <c r="B85" i="21"/>
  <c r="X84" i="21"/>
  <c r="Z84" i="21" s="1"/>
  <c r="T84" i="21"/>
  <c r="P84" i="21"/>
  <c r="H84" i="21"/>
  <c r="D84" i="21"/>
  <c r="L84" i="21" s="1"/>
  <c r="B84" i="21"/>
  <c r="Z83" i="21"/>
  <c r="X83" i="21"/>
  <c r="N83" i="21"/>
  <c r="L83" i="21"/>
  <c r="B83" i="21"/>
  <c r="T82" i="21"/>
  <c r="P82" i="21"/>
  <c r="H82" i="21"/>
  <c r="D82" i="21"/>
  <c r="L82" i="21" s="1"/>
  <c r="B82" i="21"/>
  <c r="X81" i="21"/>
  <c r="Z81" i="21" s="1"/>
  <c r="V81" i="21"/>
  <c r="L81" i="21"/>
  <c r="N81" i="21" s="1"/>
  <c r="B81" i="21"/>
  <c r="X80" i="21"/>
  <c r="Z80" i="21" s="1"/>
  <c r="L80" i="21"/>
  <c r="N80" i="21" s="1"/>
  <c r="B80" i="21"/>
  <c r="Z79" i="21"/>
  <c r="X79" i="21"/>
  <c r="N79" i="21"/>
  <c r="L79" i="21"/>
  <c r="B79" i="21"/>
  <c r="Z78" i="21"/>
  <c r="X78" i="21"/>
  <c r="N78" i="21"/>
  <c r="L78" i="21"/>
  <c r="B78" i="21"/>
  <c r="X77" i="21"/>
  <c r="Z77" i="21" s="1"/>
  <c r="V77" i="21"/>
  <c r="T77" i="21"/>
  <c r="P77" i="21"/>
  <c r="H77" i="21"/>
  <c r="D77" i="21"/>
  <c r="B77" i="21"/>
  <c r="X76" i="21"/>
  <c r="Z76" i="21" s="1"/>
  <c r="L76" i="21"/>
  <c r="N76" i="21" s="1"/>
  <c r="B76" i="21"/>
  <c r="Z75" i="21"/>
  <c r="X75" i="21"/>
  <c r="N75" i="21"/>
  <c r="L75" i="21"/>
  <c r="B75" i="21"/>
  <c r="V74" i="21"/>
  <c r="T74" i="21"/>
  <c r="P74" i="21"/>
  <c r="X74" i="21" s="1"/>
  <c r="L74" i="21"/>
  <c r="N74" i="21" s="1"/>
  <c r="H74" i="21"/>
  <c r="D74" i="21"/>
  <c r="B74" i="21"/>
  <c r="X73" i="21"/>
  <c r="Z73" i="21" s="1"/>
  <c r="V73" i="21"/>
  <c r="L73" i="21"/>
  <c r="N73" i="21" s="1"/>
  <c r="B73" i="21"/>
  <c r="X72" i="21"/>
  <c r="Z72" i="21" s="1"/>
  <c r="N72" i="21"/>
  <c r="L72" i="21"/>
  <c r="B72" i="21"/>
  <c r="Z71" i="21"/>
  <c r="X71" i="21"/>
  <c r="N71" i="21"/>
  <c r="L71" i="21"/>
  <c r="B71" i="21"/>
  <c r="X70" i="21"/>
  <c r="Z70" i="21" s="1"/>
  <c r="N70" i="21"/>
  <c r="L70" i="21"/>
  <c r="B70" i="21"/>
  <c r="X69" i="21"/>
  <c r="V69" i="21"/>
  <c r="T69" i="21"/>
  <c r="P69" i="21"/>
  <c r="H69" i="21"/>
  <c r="D69" i="21"/>
  <c r="L69" i="21" s="1"/>
  <c r="N69" i="21" s="1"/>
  <c r="B69" i="21"/>
  <c r="Z68" i="21"/>
  <c r="X68" i="21"/>
  <c r="N68" i="21"/>
  <c r="L68" i="21"/>
  <c r="B68" i="21"/>
  <c r="T67" i="21"/>
  <c r="P67" i="21"/>
  <c r="N67" i="21"/>
  <c r="L67" i="21"/>
  <c r="J67" i="21"/>
  <c r="H67" i="21"/>
  <c r="D67" i="21"/>
  <c r="B67" i="21"/>
  <c r="Z66" i="21"/>
  <c r="X66" i="21"/>
  <c r="V66" i="21"/>
  <c r="L66" i="21"/>
  <c r="N66" i="21" s="1"/>
  <c r="B66" i="21"/>
  <c r="T65" i="21"/>
  <c r="P65" i="21"/>
  <c r="X65" i="21" s="1"/>
  <c r="N65" i="21"/>
  <c r="H65" i="21"/>
  <c r="F65" i="21"/>
  <c r="D65" i="21"/>
  <c r="L65" i="21" s="1"/>
  <c r="B65" i="21"/>
  <c r="X64" i="21"/>
  <c r="Z64" i="21" s="1"/>
  <c r="N64" i="21"/>
  <c r="L64" i="21"/>
  <c r="B64" i="21"/>
  <c r="T63" i="21"/>
  <c r="P63" i="21"/>
  <c r="X63" i="21" s="1"/>
  <c r="Z63" i="21" s="1"/>
  <c r="L63" i="21"/>
  <c r="H63" i="21"/>
  <c r="N63" i="21" s="1"/>
  <c r="D63" i="21"/>
  <c r="B63" i="21"/>
  <c r="Z62" i="21"/>
  <c r="X62" i="21"/>
  <c r="N62" i="21"/>
  <c r="L62" i="21"/>
  <c r="B62" i="21"/>
  <c r="X61" i="21"/>
  <c r="V61" i="21"/>
  <c r="T61" i="21"/>
  <c r="Z61" i="21" s="1"/>
  <c r="P61" i="21"/>
  <c r="H61" i="21"/>
  <c r="D61" i="21"/>
  <c r="B61" i="21"/>
  <c r="Z60" i="21"/>
  <c r="X60" i="21"/>
  <c r="N60" i="21"/>
  <c r="L60" i="21"/>
  <c r="B60" i="21"/>
  <c r="Z59" i="21"/>
  <c r="T59" i="21"/>
  <c r="P59" i="21"/>
  <c r="X59" i="21" s="1"/>
  <c r="H59" i="21"/>
  <c r="N59" i="21" s="1"/>
  <c r="D59" i="21"/>
  <c r="L59" i="21" s="1"/>
  <c r="B59" i="21"/>
  <c r="X58" i="21"/>
  <c r="Z58" i="21" s="1"/>
  <c r="N58" i="21"/>
  <c r="L58" i="21"/>
  <c r="B58" i="21"/>
  <c r="X57" i="21"/>
  <c r="V57" i="21"/>
  <c r="T57" i="21"/>
  <c r="P57" i="21"/>
  <c r="N57" i="21"/>
  <c r="H57" i="21"/>
  <c r="D57" i="21"/>
  <c r="L57" i="21" s="1"/>
  <c r="B57" i="21"/>
  <c r="X56" i="21"/>
  <c r="Z56" i="21" s="1"/>
  <c r="L56" i="21"/>
  <c r="N56" i="21" s="1"/>
  <c r="B56" i="21"/>
  <c r="Z55" i="21"/>
  <c r="X55" i="21"/>
  <c r="N55" i="21"/>
  <c r="L55" i="21"/>
  <c r="B55" i="21"/>
  <c r="T54" i="21"/>
  <c r="P54" i="21"/>
  <c r="X54" i="21" s="1"/>
  <c r="Z54" i="21" s="1"/>
  <c r="L54" i="21"/>
  <c r="N54" i="21" s="1"/>
  <c r="H54" i="21"/>
  <c r="D54" i="21"/>
  <c r="B54" i="21"/>
  <c r="X53" i="21"/>
  <c r="Z53" i="21" s="1"/>
  <c r="L53" i="21"/>
  <c r="N53" i="21" s="1"/>
  <c r="J53" i="21"/>
  <c r="B53" i="21"/>
  <c r="X52" i="21"/>
  <c r="Z52" i="21" s="1"/>
  <c r="T52" i="21"/>
  <c r="P52" i="21"/>
  <c r="H52" i="21"/>
  <c r="D52" i="21"/>
  <c r="L52" i="21" s="1"/>
  <c r="B52" i="21"/>
  <c r="Z51" i="21"/>
  <c r="X51" i="21"/>
  <c r="L51" i="21"/>
  <c r="N51" i="21" s="1"/>
  <c r="B51" i="21"/>
  <c r="T50" i="21"/>
  <c r="P50" i="21"/>
  <c r="H50" i="21"/>
  <c r="D50" i="21"/>
  <c r="L50" i="21" s="1"/>
  <c r="N50" i="21" s="1"/>
  <c r="B50" i="21"/>
  <c r="X49" i="21"/>
  <c r="Z49" i="21" s="1"/>
  <c r="V49" i="21"/>
  <c r="L49" i="21"/>
  <c r="N49" i="21" s="1"/>
  <c r="B49" i="21"/>
  <c r="X48" i="21"/>
  <c r="Z48" i="21" s="1"/>
  <c r="T48" i="21"/>
  <c r="P48" i="21"/>
  <c r="H48" i="21"/>
  <c r="D48" i="21"/>
  <c r="L48" i="21" s="1"/>
  <c r="N48" i="21" s="1"/>
  <c r="B48" i="21"/>
  <c r="Z47" i="21"/>
  <c r="X47" i="21"/>
  <c r="N47" i="21"/>
  <c r="L47" i="21"/>
  <c r="B47" i="21"/>
  <c r="Z46" i="21"/>
  <c r="X46" i="21"/>
  <c r="V46" i="21"/>
  <c r="N46" i="21"/>
  <c r="L46" i="21"/>
  <c r="B46" i="21"/>
  <c r="X45" i="21"/>
  <c r="Z45" i="21" s="1"/>
  <c r="L45" i="21"/>
  <c r="N45" i="21" s="1"/>
  <c r="J45" i="21"/>
  <c r="B45" i="21"/>
  <c r="X44" i="21"/>
  <c r="Z44" i="21" s="1"/>
  <c r="N44" i="21"/>
  <c r="L44" i="21"/>
  <c r="B44" i="21"/>
  <c r="Z43" i="21"/>
  <c r="X43" i="21"/>
  <c r="N43" i="21"/>
  <c r="L43" i="21"/>
  <c r="B43" i="21"/>
  <c r="Z42" i="21"/>
  <c r="X42" i="21"/>
  <c r="L42" i="21"/>
  <c r="N42" i="21" s="1"/>
  <c r="B42" i="21"/>
  <c r="X41" i="21"/>
  <c r="Z41" i="21" s="1"/>
  <c r="L41" i="21"/>
  <c r="N41" i="21" s="1"/>
  <c r="J41" i="21"/>
  <c r="B41" i="21"/>
  <c r="Z40" i="21"/>
  <c r="X40" i="21"/>
  <c r="N40" i="21"/>
  <c r="L40" i="21"/>
  <c r="B40" i="21"/>
  <c r="Z39" i="21"/>
  <c r="X39" i="21"/>
  <c r="N39" i="21"/>
  <c r="L39" i="21"/>
  <c r="B39" i="21"/>
  <c r="Z38" i="21"/>
  <c r="X38" i="21"/>
  <c r="V38" i="21"/>
  <c r="L38" i="21"/>
  <c r="N38" i="21" s="1"/>
  <c r="B38" i="21"/>
  <c r="T37" i="21"/>
  <c r="P37" i="21"/>
  <c r="X37" i="21" s="1"/>
  <c r="H37" i="21"/>
  <c r="D37" i="21"/>
  <c r="L37" i="21" s="1"/>
  <c r="N37" i="21" s="1"/>
  <c r="B37" i="21"/>
  <c r="X36" i="21"/>
  <c r="Z36" i="21" s="1"/>
  <c r="L36" i="21"/>
  <c r="N36" i="21" s="1"/>
  <c r="B36" i="21"/>
  <c r="X35" i="21"/>
  <c r="Z35" i="21" s="1"/>
  <c r="L35" i="21"/>
  <c r="N35" i="21" s="1"/>
  <c r="B35" i="21"/>
  <c r="X34" i="21"/>
  <c r="Z34" i="21" s="1"/>
  <c r="N34" i="21"/>
  <c r="L34" i="21"/>
  <c r="B34" i="21"/>
  <c r="Z33" i="21"/>
  <c r="X33" i="21"/>
  <c r="V33" i="21"/>
  <c r="N33" i="21"/>
  <c r="L33" i="21"/>
  <c r="B33" i="21"/>
  <c r="X32" i="21"/>
  <c r="Z32" i="21" s="1"/>
  <c r="V32" i="21"/>
  <c r="L32" i="21"/>
  <c r="N32" i="21" s="1"/>
  <c r="F32" i="21"/>
  <c r="B32" i="21"/>
  <c r="X31" i="21"/>
  <c r="Z31" i="21" s="1"/>
  <c r="N31" i="21"/>
  <c r="L31" i="21"/>
  <c r="B31" i="21"/>
  <c r="X30" i="21"/>
  <c r="Z30" i="21" s="1"/>
  <c r="V30" i="21"/>
  <c r="N30" i="21"/>
  <c r="L30" i="21"/>
  <c r="B30" i="21"/>
  <c r="X29" i="21"/>
  <c r="Z29" i="21" s="1"/>
  <c r="V29" i="21"/>
  <c r="L29" i="21"/>
  <c r="N29" i="21" s="1"/>
  <c r="B29" i="21"/>
  <c r="X28" i="21"/>
  <c r="Z28" i="21" s="1"/>
  <c r="V28" i="21"/>
  <c r="N28" i="21"/>
  <c r="L28" i="21"/>
  <c r="B28" i="21"/>
  <c r="T27" i="21"/>
  <c r="P27" i="21"/>
  <c r="X27" i="21" s="1"/>
  <c r="Z27" i="21" s="1"/>
  <c r="L27" i="21"/>
  <c r="N27" i="21" s="1"/>
  <c r="H27" i="21"/>
  <c r="F27" i="21"/>
  <c r="D27" i="21"/>
  <c r="B27" i="21"/>
  <c r="T26" i="21"/>
  <c r="P26" i="21"/>
  <c r="H26" i="21"/>
  <c r="D26" i="21"/>
  <c r="Z22" i="21"/>
  <c r="X22" i="21"/>
  <c r="N22" i="21"/>
  <c r="L22" i="21"/>
  <c r="J22" i="21"/>
  <c r="B22" i="21"/>
  <c r="Z21" i="21"/>
  <c r="X21" i="21"/>
  <c r="V21" i="21"/>
  <c r="N21" i="21"/>
  <c r="L21" i="21"/>
  <c r="J21" i="21"/>
  <c r="B21" i="21"/>
  <c r="X20" i="21"/>
  <c r="Z20" i="21" s="1"/>
  <c r="V20" i="21"/>
  <c r="L20" i="21"/>
  <c r="N20" i="21" s="1"/>
  <c r="J20" i="21"/>
  <c r="B20" i="21"/>
  <c r="Z19" i="21"/>
  <c r="T19" i="21"/>
  <c r="T24" i="21" s="1"/>
  <c r="P19" i="21"/>
  <c r="X19" i="21" s="1"/>
  <c r="H19" i="21"/>
  <c r="D19" i="21"/>
  <c r="L19" i="21" s="1"/>
  <c r="Z17" i="21"/>
  <c r="P17" i="21"/>
  <c r="X17" i="21" s="1"/>
  <c r="N17" i="21"/>
  <c r="L17" i="21"/>
  <c r="D17" i="21"/>
  <c r="B17" i="21"/>
  <c r="Z16" i="21"/>
  <c r="P16" i="21"/>
  <c r="X16" i="21" s="1"/>
  <c r="N16" i="21"/>
  <c r="D16" i="21"/>
  <c r="L16" i="21" s="1"/>
  <c r="B16" i="21"/>
  <c r="P15" i="21"/>
  <c r="P12" i="21" s="1"/>
  <c r="L15" i="21"/>
  <c r="N15" i="21" s="1"/>
  <c r="D15" i="21"/>
  <c r="B15" i="21"/>
  <c r="Z14" i="21"/>
  <c r="P14" i="21"/>
  <c r="X14" i="21" s="1"/>
  <c r="N14" i="21"/>
  <c r="D14" i="21"/>
  <c r="L14" i="21" s="1"/>
  <c r="B14" i="21"/>
  <c r="P13" i="21"/>
  <c r="X13" i="21" s="1"/>
  <c r="Z13" i="21" s="1"/>
  <c r="D13" i="21"/>
  <c r="D12" i="21" s="1"/>
  <c r="B13" i="21"/>
  <c r="X12" i="21"/>
  <c r="Z12" i="21" s="1"/>
  <c r="T12" i="21"/>
  <c r="H12" i="21"/>
  <c r="J89" i="21" s="1"/>
  <c r="D4" i="21"/>
  <c r="X243" i="18"/>
  <c r="Z243" i="18" s="1"/>
  <c r="V243" i="18"/>
  <c r="L243" i="18"/>
  <c r="N243" i="18" s="1"/>
  <c r="Z239" i="18"/>
  <c r="P239" i="18"/>
  <c r="X239" i="18" s="1"/>
  <c r="N239" i="18"/>
  <c r="L239" i="18"/>
  <c r="D239" i="18"/>
  <c r="B239" i="18"/>
  <c r="Z238" i="18"/>
  <c r="P238" i="18"/>
  <c r="X238" i="18" s="1"/>
  <c r="N238" i="18"/>
  <c r="J238" i="18"/>
  <c r="D238" i="18"/>
  <c r="L238" i="18" s="1"/>
  <c r="B238" i="18"/>
  <c r="P237" i="18"/>
  <c r="X237" i="18" s="1"/>
  <c r="Z237" i="18" s="1"/>
  <c r="N237" i="18"/>
  <c r="L237" i="18"/>
  <c r="D237" i="18"/>
  <c r="B237" i="18"/>
  <c r="X236" i="18"/>
  <c r="Z236" i="18" s="1"/>
  <c r="P236" i="18"/>
  <c r="D236" i="18"/>
  <c r="L236" i="18" s="1"/>
  <c r="N236" i="18" s="1"/>
  <c r="B236" i="18"/>
  <c r="Z235" i="18"/>
  <c r="X235" i="18"/>
  <c r="P235" i="18"/>
  <c r="N235" i="18"/>
  <c r="L235" i="18"/>
  <c r="D235" i="18"/>
  <c r="B235" i="18"/>
  <c r="T234" i="18"/>
  <c r="H234" i="18"/>
  <c r="N234" i="18" s="1"/>
  <c r="D234" i="18"/>
  <c r="L234" i="18" s="1"/>
  <c r="X232" i="18"/>
  <c r="Z232" i="18" s="1"/>
  <c r="L232" i="18"/>
  <c r="N232" i="18" s="1"/>
  <c r="B232" i="18"/>
  <c r="V231" i="18"/>
  <c r="T231" i="18"/>
  <c r="P231" i="18"/>
  <c r="X231" i="18" s="1"/>
  <c r="Z231" i="18" s="1"/>
  <c r="H231" i="18"/>
  <c r="D231" i="18"/>
  <c r="L231" i="18" s="1"/>
  <c r="N231" i="18" s="1"/>
  <c r="B231" i="18"/>
  <c r="X230" i="18"/>
  <c r="Z230" i="18" s="1"/>
  <c r="L230" i="18"/>
  <c r="N230" i="18" s="1"/>
  <c r="B230" i="18"/>
  <c r="X229" i="18"/>
  <c r="Z229" i="18" s="1"/>
  <c r="N229" i="18"/>
  <c r="L229" i="18"/>
  <c r="B229" i="18"/>
  <c r="Z228" i="18"/>
  <c r="X228" i="18"/>
  <c r="N228" i="18"/>
  <c r="L228" i="18"/>
  <c r="B228" i="18"/>
  <c r="X227" i="18"/>
  <c r="Z227" i="18" s="1"/>
  <c r="T227" i="18"/>
  <c r="P227" i="18"/>
  <c r="L227" i="18"/>
  <c r="N227" i="18" s="1"/>
  <c r="H227" i="18"/>
  <c r="D227" i="18"/>
  <c r="B227" i="18"/>
  <c r="X226" i="18"/>
  <c r="Z226" i="18" s="1"/>
  <c r="L226" i="18"/>
  <c r="N226" i="18" s="1"/>
  <c r="B226" i="18"/>
  <c r="Z225" i="18"/>
  <c r="T225" i="18"/>
  <c r="P225" i="18"/>
  <c r="X225" i="18" s="1"/>
  <c r="H225" i="18"/>
  <c r="D225" i="18"/>
  <c r="L225" i="18" s="1"/>
  <c r="B225" i="18"/>
  <c r="X224" i="18"/>
  <c r="Z224" i="18" s="1"/>
  <c r="L224" i="18"/>
  <c r="N224" i="18" s="1"/>
  <c r="B224" i="18"/>
  <c r="X223" i="18"/>
  <c r="Z223" i="18" s="1"/>
  <c r="V223" i="18"/>
  <c r="L223" i="18"/>
  <c r="N223" i="18" s="1"/>
  <c r="B223" i="18"/>
  <c r="T222" i="18"/>
  <c r="Z222" i="18" s="1"/>
  <c r="P222" i="18"/>
  <c r="X222" i="18" s="1"/>
  <c r="H222" i="18"/>
  <c r="D222" i="18"/>
  <c r="L222" i="18" s="1"/>
  <c r="B222" i="18"/>
  <c r="X221" i="18"/>
  <c r="Z221" i="18" s="1"/>
  <c r="N221" i="18"/>
  <c r="L221" i="18"/>
  <c r="B221" i="18"/>
  <c r="X220" i="18"/>
  <c r="Z220" i="18" s="1"/>
  <c r="N220" i="18"/>
  <c r="L220" i="18"/>
  <c r="B220" i="18"/>
  <c r="X219" i="18"/>
  <c r="Z219" i="18" s="1"/>
  <c r="N219" i="18"/>
  <c r="L219" i="18"/>
  <c r="B219" i="18"/>
  <c r="X218" i="18"/>
  <c r="Z218" i="18" s="1"/>
  <c r="N218" i="18"/>
  <c r="L218" i="18"/>
  <c r="B218" i="18"/>
  <c r="X217" i="18"/>
  <c r="Z217" i="18" s="1"/>
  <c r="N217" i="18"/>
  <c r="L217" i="18"/>
  <c r="B217" i="18"/>
  <c r="X216" i="18"/>
  <c r="Z216" i="18" s="1"/>
  <c r="N216" i="18"/>
  <c r="L216" i="18"/>
  <c r="B216" i="18"/>
  <c r="X215" i="18"/>
  <c r="Z215" i="18" s="1"/>
  <c r="N215" i="18"/>
  <c r="L215" i="18"/>
  <c r="B215" i="18"/>
  <c r="X214" i="18"/>
  <c r="Z214" i="18" s="1"/>
  <c r="L214" i="18"/>
  <c r="N214" i="18" s="1"/>
  <c r="B214" i="18"/>
  <c r="X213" i="18"/>
  <c r="Z213" i="18" s="1"/>
  <c r="N213" i="18"/>
  <c r="L213" i="18"/>
  <c r="B213" i="18"/>
  <c r="T212" i="18"/>
  <c r="P212" i="18"/>
  <c r="L212" i="18"/>
  <c r="H212" i="18"/>
  <c r="N212" i="18" s="1"/>
  <c r="D212" i="18"/>
  <c r="B212" i="18"/>
  <c r="Z211" i="18"/>
  <c r="X211" i="18"/>
  <c r="N211" i="18"/>
  <c r="L211" i="18"/>
  <c r="J211" i="18"/>
  <c r="B211" i="18"/>
  <c r="X210" i="18"/>
  <c r="Z210" i="18" s="1"/>
  <c r="L210" i="18"/>
  <c r="N210" i="18" s="1"/>
  <c r="B210" i="18"/>
  <c r="T209" i="18"/>
  <c r="P209" i="18"/>
  <c r="X209" i="18" s="1"/>
  <c r="Z209" i="18" s="1"/>
  <c r="H209" i="18"/>
  <c r="N209" i="18" s="1"/>
  <c r="D209" i="18"/>
  <c r="L209" i="18" s="1"/>
  <c r="B209" i="18"/>
  <c r="X208" i="18"/>
  <c r="Z208" i="18" s="1"/>
  <c r="L208" i="18"/>
  <c r="N208" i="18" s="1"/>
  <c r="B208" i="18"/>
  <c r="X207" i="18"/>
  <c r="Z207" i="18" s="1"/>
  <c r="V207" i="18"/>
  <c r="L207" i="18"/>
  <c r="N207" i="18" s="1"/>
  <c r="B207" i="18"/>
  <c r="Z206" i="18"/>
  <c r="X206" i="18"/>
  <c r="N206" i="18"/>
  <c r="L206" i="18"/>
  <c r="B206" i="18"/>
  <c r="Z205" i="18"/>
  <c r="X205" i="18"/>
  <c r="L205" i="18"/>
  <c r="N205" i="18" s="1"/>
  <c r="B205" i="18"/>
  <c r="T204" i="18"/>
  <c r="Z204" i="18" s="1"/>
  <c r="P204" i="18"/>
  <c r="X204" i="18" s="1"/>
  <c r="H204" i="18"/>
  <c r="N204" i="18" s="1"/>
  <c r="D204" i="18"/>
  <c r="L204" i="18" s="1"/>
  <c r="B204" i="18"/>
  <c r="X203" i="18"/>
  <c r="Z203" i="18" s="1"/>
  <c r="N203" i="18"/>
  <c r="L203" i="18"/>
  <c r="B203" i="18"/>
  <c r="X202" i="18"/>
  <c r="Z202" i="18" s="1"/>
  <c r="L202" i="18"/>
  <c r="N202" i="18" s="1"/>
  <c r="B202" i="18"/>
  <c r="X201" i="18"/>
  <c r="Z201" i="18" s="1"/>
  <c r="N201" i="18"/>
  <c r="L201" i="18"/>
  <c r="B201" i="18"/>
  <c r="X200" i="18"/>
  <c r="Z200" i="18" s="1"/>
  <c r="N200" i="18"/>
  <c r="L200" i="18"/>
  <c r="B200" i="18"/>
  <c r="X199" i="18"/>
  <c r="Z199" i="18" s="1"/>
  <c r="T199" i="18"/>
  <c r="P199" i="18"/>
  <c r="L199" i="18"/>
  <c r="N199" i="18" s="1"/>
  <c r="H199" i="18"/>
  <c r="D199" i="18"/>
  <c r="B199" i="18"/>
  <c r="X198" i="18"/>
  <c r="Z198" i="18" s="1"/>
  <c r="L198" i="18"/>
  <c r="N198" i="18" s="1"/>
  <c r="B198" i="18"/>
  <c r="Z197" i="18"/>
  <c r="X197" i="18"/>
  <c r="N197" i="18"/>
  <c r="L197" i="18"/>
  <c r="B197" i="18"/>
  <c r="Z196" i="18"/>
  <c r="X196" i="18"/>
  <c r="N196" i="18"/>
  <c r="L196" i="18"/>
  <c r="B196" i="18"/>
  <c r="Z195" i="18"/>
  <c r="X195" i="18"/>
  <c r="N195" i="18"/>
  <c r="L195" i="18"/>
  <c r="J195" i="18"/>
  <c r="B195" i="18"/>
  <c r="X194" i="18"/>
  <c r="Z194" i="18" s="1"/>
  <c r="T194" i="18"/>
  <c r="P194" i="18"/>
  <c r="H194" i="18"/>
  <c r="D194" i="18"/>
  <c r="L194" i="18" s="1"/>
  <c r="B194" i="18"/>
  <c r="Z193" i="18"/>
  <c r="X193" i="18"/>
  <c r="L193" i="18"/>
  <c r="N193" i="18" s="1"/>
  <c r="B193" i="18"/>
  <c r="T192" i="18"/>
  <c r="P192" i="18"/>
  <c r="X192" i="18" s="1"/>
  <c r="H192" i="18"/>
  <c r="D192" i="18"/>
  <c r="L192" i="18" s="1"/>
  <c r="B192" i="18"/>
  <c r="X191" i="18"/>
  <c r="Z191" i="18" s="1"/>
  <c r="N191" i="18"/>
  <c r="L191" i="18"/>
  <c r="B191" i="18"/>
  <c r="X190" i="18"/>
  <c r="T190" i="18"/>
  <c r="P190" i="18"/>
  <c r="H190" i="18"/>
  <c r="N190" i="18" s="1"/>
  <c r="D190" i="18"/>
  <c r="B190" i="18"/>
  <c r="Z189" i="18"/>
  <c r="X189" i="18"/>
  <c r="N189" i="18"/>
  <c r="L189" i="18"/>
  <c r="B189" i="18"/>
  <c r="T188" i="18"/>
  <c r="P188" i="18"/>
  <c r="X188" i="18" s="1"/>
  <c r="L188" i="18"/>
  <c r="N188" i="18" s="1"/>
  <c r="H188" i="18"/>
  <c r="D188" i="18"/>
  <c r="B188" i="18"/>
  <c r="X187" i="18"/>
  <c r="Z187" i="18" s="1"/>
  <c r="V187" i="18"/>
  <c r="L187" i="18"/>
  <c r="N187" i="18" s="1"/>
  <c r="B187" i="18"/>
  <c r="T186" i="18"/>
  <c r="Z186" i="18" s="1"/>
  <c r="P186" i="18"/>
  <c r="X186" i="18" s="1"/>
  <c r="H186" i="18"/>
  <c r="D186" i="18"/>
  <c r="L186" i="18" s="1"/>
  <c r="B186" i="18"/>
  <c r="X185" i="18"/>
  <c r="Z185" i="18" s="1"/>
  <c r="N185" i="18"/>
  <c r="L185" i="18"/>
  <c r="B185" i="18"/>
  <c r="X184" i="18"/>
  <c r="Z184" i="18" s="1"/>
  <c r="N184" i="18"/>
  <c r="L184" i="18"/>
  <c r="B184" i="18"/>
  <c r="X183" i="18"/>
  <c r="Z183" i="18" s="1"/>
  <c r="N183" i="18"/>
  <c r="L183" i="18"/>
  <c r="B183" i="18"/>
  <c r="X182" i="18"/>
  <c r="T182" i="18"/>
  <c r="Z182" i="18" s="1"/>
  <c r="P182" i="18"/>
  <c r="H182" i="18"/>
  <c r="D182" i="18"/>
  <c r="B182" i="18"/>
  <c r="Z181" i="18"/>
  <c r="X181" i="18"/>
  <c r="N181" i="18"/>
  <c r="L181" i="18"/>
  <c r="B181" i="18"/>
  <c r="Z180" i="18"/>
  <c r="X180" i="18"/>
  <c r="L180" i="18"/>
  <c r="N180" i="18" s="1"/>
  <c r="B180" i="18"/>
  <c r="T179" i="18"/>
  <c r="P179" i="18"/>
  <c r="X179" i="18" s="1"/>
  <c r="N179" i="18"/>
  <c r="H179" i="18"/>
  <c r="D179" i="18"/>
  <c r="L179" i="18" s="1"/>
  <c r="B179" i="18"/>
  <c r="X178" i="18"/>
  <c r="Z178" i="18" s="1"/>
  <c r="L178" i="18"/>
  <c r="N178" i="18" s="1"/>
  <c r="B178" i="18"/>
  <c r="T177" i="18"/>
  <c r="P177" i="18"/>
  <c r="X177" i="18" s="1"/>
  <c r="Z177" i="18" s="1"/>
  <c r="J177" i="18"/>
  <c r="H177" i="18"/>
  <c r="D177" i="18"/>
  <c r="L177" i="18" s="1"/>
  <c r="N177" i="18" s="1"/>
  <c r="B177" i="18"/>
  <c r="X176" i="18"/>
  <c r="Z176" i="18" s="1"/>
  <c r="N176" i="18"/>
  <c r="L176" i="18"/>
  <c r="B176" i="18"/>
  <c r="X175" i="18"/>
  <c r="Z175" i="18" s="1"/>
  <c r="T175" i="18"/>
  <c r="P175" i="18"/>
  <c r="L175" i="18"/>
  <c r="N175" i="18" s="1"/>
  <c r="H175" i="18"/>
  <c r="D175" i="18"/>
  <c r="B175" i="18"/>
  <c r="X174" i="18"/>
  <c r="Z174" i="18" s="1"/>
  <c r="L174" i="18"/>
  <c r="N174" i="18" s="1"/>
  <c r="B174" i="18"/>
  <c r="Z173" i="18"/>
  <c r="X173" i="18"/>
  <c r="N173" i="18"/>
  <c r="L173" i="18"/>
  <c r="B173" i="18"/>
  <c r="T172" i="18"/>
  <c r="P172" i="18"/>
  <c r="X172" i="18" s="1"/>
  <c r="L172" i="18"/>
  <c r="N172" i="18" s="1"/>
  <c r="H172" i="18"/>
  <c r="D172" i="18"/>
  <c r="B172" i="18"/>
  <c r="Z171" i="18"/>
  <c r="X171" i="18"/>
  <c r="V171" i="18"/>
  <c r="N171" i="18"/>
  <c r="L171" i="18"/>
  <c r="B171" i="18"/>
  <c r="X170" i="18"/>
  <c r="Z170" i="18" s="1"/>
  <c r="L170" i="18"/>
  <c r="N170" i="18" s="1"/>
  <c r="B170" i="18"/>
  <c r="T169" i="18"/>
  <c r="P169" i="18"/>
  <c r="X169" i="18" s="1"/>
  <c r="Z169" i="18" s="1"/>
  <c r="J169" i="18"/>
  <c r="H169" i="18"/>
  <c r="D169" i="18"/>
  <c r="L169" i="18" s="1"/>
  <c r="N169" i="18" s="1"/>
  <c r="B169" i="18"/>
  <c r="X168" i="18"/>
  <c r="Z168" i="18" s="1"/>
  <c r="N168" i="18"/>
  <c r="L168" i="18"/>
  <c r="B168" i="18"/>
  <c r="Z167" i="18"/>
  <c r="X167" i="18"/>
  <c r="N167" i="18"/>
  <c r="L167" i="18"/>
  <c r="B167" i="18"/>
  <c r="X166" i="18"/>
  <c r="T166" i="18"/>
  <c r="P166" i="18"/>
  <c r="H166" i="18"/>
  <c r="D166" i="18"/>
  <c r="B166" i="18"/>
  <c r="Z165" i="18"/>
  <c r="X165" i="18"/>
  <c r="N165" i="18"/>
  <c r="L165" i="18"/>
  <c r="B165" i="18"/>
  <c r="T164" i="18"/>
  <c r="P164" i="18"/>
  <c r="X164" i="18" s="1"/>
  <c r="L164" i="18"/>
  <c r="N164" i="18" s="1"/>
  <c r="H164" i="18"/>
  <c r="D164" i="18"/>
  <c r="B164" i="18"/>
  <c r="X163" i="18"/>
  <c r="Z163" i="18" s="1"/>
  <c r="V163" i="18"/>
  <c r="L163" i="18"/>
  <c r="N163" i="18" s="1"/>
  <c r="B163" i="18"/>
  <c r="X162" i="18"/>
  <c r="Z162" i="18" s="1"/>
  <c r="L162" i="18"/>
  <c r="N162" i="18" s="1"/>
  <c r="B162" i="18"/>
  <c r="T161" i="18"/>
  <c r="P161" i="18"/>
  <c r="X161" i="18" s="1"/>
  <c r="Z161" i="18" s="1"/>
  <c r="J161" i="18"/>
  <c r="H161" i="18"/>
  <c r="D161" i="18"/>
  <c r="L161" i="18" s="1"/>
  <c r="N161" i="18" s="1"/>
  <c r="B161" i="18"/>
  <c r="X160" i="18"/>
  <c r="Z160" i="18" s="1"/>
  <c r="N160" i="18"/>
  <c r="L160" i="18"/>
  <c r="B160" i="18"/>
  <c r="X159" i="18"/>
  <c r="Z159" i="18" s="1"/>
  <c r="T159" i="18"/>
  <c r="P159" i="18"/>
  <c r="L159" i="18"/>
  <c r="N159" i="18" s="1"/>
  <c r="H159" i="18"/>
  <c r="D159" i="18"/>
  <c r="B159" i="18"/>
  <c r="Z158" i="18"/>
  <c r="X158" i="18"/>
  <c r="N158" i="18"/>
  <c r="L158" i="18"/>
  <c r="B158" i="18"/>
  <c r="Z157" i="18"/>
  <c r="X157" i="18"/>
  <c r="N157" i="18"/>
  <c r="L157" i="18"/>
  <c r="B157" i="18"/>
  <c r="Z156" i="18"/>
  <c r="X156" i="18"/>
  <c r="L156" i="18"/>
  <c r="N156" i="18" s="1"/>
  <c r="B156" i="18"/>
  <c r="Z155" i="18"/>
  <c r="X155" i="18"/>
  <c r="N155" i="18"/>
  <c r="L155" i="18"/>
  <c r="J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L152" i="18"/>
  <c r="N152" i="18" s="1"/>
  <c r="B152" i="18"/>
  <c r="Z151" i="18"/>
  <c r="X151" i="18"/>
  <c r="N151" i="18"/>
  <c r="L151" i="18"/>
  <c r="J151" i="18"/>
  <c r="B151" i="18"/>
  <c r="X150" i="18"/>
  <c r="Z150" i="18" s="1"/>
  <c r="L150" i="18"/>
  <c r="N150" i="18" s="1"/>
  <c r="B150" i="18"/>
  <c r="Z149" i="18"/>
  <c r="X149" i="18"/>
  <c r="N149" i="18"/>
  <c r="L149" i="18"/>
  <c r="B149" i="18"/>
  <c r="T148" i="18"/>
  <c r="P148" i="18"/>
  <c r="X148" i="18" s="1"/>
  <c r="L148" i="18"/>
  <c r="N148" i="18" s="1"/>
  <c r="H148" i="18"/>
  <c r="D148" i="18"/>
  <c r="B148" i="18"/>
  <c r="X147" i="18"/>
  <c r="Z147" i="18" s="1"/>
  <c r="V147" i="18"/>
  <c r="L147" i="18"/>
  <c r="N147" i="18" s="1"/>
  <c r="B147" i="18"/>
  <c r="X146" i="18"/>
  <c r="Z146" i="18" s="1"/>
  <c r="L146" i="18"/>
  <c r="N146" i="18" s="1"/>
  <c r="B146" i="18"/>
  <c r="Z145" i="18"/>
  <c r="X145" i="18"/>
  <c r="L145" i="18"/>
  <c r="N145" i="18" s="1"/>
  <c r="B145" i="18"/>
  <c r="Z144" i="18"/>
  <c r="X144" i="18"/>
  <c r="N144" i="18"/>
  <c r="L144" i="18"/>
  <c r="B144" i="18"/>
  <c r="Z143" i="18"/>
  <c r="X143" i="18"/>
  <c r="V143" i="18"/>
  <c r="N143" i="18"/>
  <c r="L143" i="18"/>
  <c r="B143" i="18"/>
  <c r="X142" i="18"/>
  <c r="Z142" i="18" s="1"/>
  <c r="L142" i="18"/>
  <c r="N142" i="18" s="1"/>
  <c r="B142" i="18"/>
  <c r="Z141" i="18"/>
  <c r="X141" i="18"/>
  <c r="L141" i="18"/>
  <c r="N141" i="18" s="1"/>
  <c r="B141" i="18"/>
  <c r="X140" i="18"/>
  <c r="Z140" i="18" s="1"/>
  <c r="L140" i="18"/>
  <c r="N140" i="18" s="1"/>
  <c r="B140" i="18"/>
  <c r="X139" i="18"/>
  <c r="Z139" i="18" s="1"/>
  <c r="V139" i="18"/>
  <c r="L139" i="18"/>
  <c r="N139" i="18" s="1"/>
  <c r="B139" i="18"/>
  <c r="X138" i="18"/>
  <c r="Z138" i="18" s="1"/>
  <c r="V138" i="18"/>
  <c r="L138" i="18"/>
  <c r="N138" i="18" s="1"/>
  <c r="B138" i="18"/>
  <c r="T137" i="18"/>
  <c r="P137" i="18"/>
  <c r="X137" i="18" s="1"/>
  <c r="Z137" i="18" s="1"/>
  <c r="J137" i="18"/>
  <c r="H137" i="18"/>
  <c r="D137" i="18"/>
  <c r="L137" i="18" s="1"/>
  <c r="N137" i="18" s="1"/>
  <c r="B137" i="18"/>
  <c r="T136" i="18"/>
  <c r="P136" i="18"/>
  <c r="L136" i="18"/>
  <c r="H136" i="18"/>
  <c r="D136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V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V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V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V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V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V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V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V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V95" i="18"/>
  <c r="N95" i="18"/>
  <c r="L95" i="18"/>
  <c r="B95" i="18"/>
  <c r="Z94" i="18"/>
  <c r="X94" i="18"/>
  <c r="N94" i="18"/>
  <c r="L94" i="18"/>
  <c r="B94" i="18"/>
  <c r="Z93" i="18"/>
  <c r="X93" i="18"/>
  <c r="N93" i="18"/>
  <c r="L93" i="18"/>
  <c r="B93" i="18"/>
  <c r="Z92" i="18"/>
  <c r="X92" i="18"/>
  <c r="N92" i="18"/>
  <c r="L92" i="18"/>
  <c r="B92" i="18"/>
  <c r="Z91" i="18"/>
  <c r="X91" i="18"/>
  <c r="V91" i="18"/>
  <c r="N91" i="18"/>
  <c r="L91" i="18"/>
  <c r="B91" i="18"/>
  <c r="X90" i="18"/>
  <c r="T90" i="18"/>
  <c r="Z90" i="18" s="1"/>
  <c r="P90" i="18"/>
  <c r="H90" i="18"/>
  <c r="N90" i="18" s="1"/>
  <c r="D90" i="18"/>
  <c r="L90" i="18" s="1"/>
  <c r="Z88" i="18"/>
  <c r="X88" i="18"/>
  <c r="P88" i="18"/>
  <c r="N88" i="18"/>
  <c r="D88" i="18"/>
  <c r="L88" i="18" s="1"/>
  <c r="B88" i="18"/>
  <c r="Z87" i="18"/>
  <c r="P87" i="18"/>
  <c r="X87" i="18" s="1"/>
  <c r="N87" i="18"/>
  <c r="L87" i="18"/>
  <c r="D87" i="18"/>
  <c r="B87" i="18"/>
  <c r="Z86" i="18"/>
  <c r="X86" i="18"/>
  <c r="P86" i="18"/>
  <c r="N86" i="18"/>
  <c r="D86" i="18"/>
  <c r="L86" i="18" s="1"/>
  <c r="B86" i="18"/>
  <c r="Z85" i="18"/>
  <c r="X85" i="18"/>
  <c r="P85" i="18"/>
  <c r="N85" i="18"/>
  <c r="L85" i="18"/>
  <c r="D85" i="18"/>
  <c r="B85" i="18"/>
  <c r="Z84" i="18"/>
  <c r="X84" i="18"/>
  <c r="P84" i="18"/>
  <c r="N84" i="18"/>
  <c r="D84" i="18"/>
  <c r="L84" i="18" s="1"/>
  <c r="B84" i="18"/>
  <c r="Z83" i="18"/>
  <c r="P83" i="18"/>
  <c r="X83" i="18" s="1"/>
  <c r="N83" i="18"/>
  <c r="L83" i="18"/>
  <c r="D83" i="18"/>
  <c r="B83" i="18"/>
  <c r="Z82" i="18"/>
  <c r="X82" i="18"/>
  <c r="P82" i="18"/>
  <c r="N82" i="18"/>
  <c r="L82" i="18"/>
  <c r="D82" i="18"/>
  <c r="B82" i="18"/>
  <c r="Z81" i="18"/>
  <c r="P81" i="18"/>
  <c r="X81" i="18" s="1"/>
  <c r="N81" i="18"/>
  <c r="L81" i="18"/>
  <c r="D81" i="18"/>
  <c r="B81" i="18"/>
  <c r="Z80" i="18"/>
  <c r="P80" i="18"/>
  <c r="X80" i="18" s="1"/>
  <c r="N80" i="18"/>
  <c r="D80" i="18"/>
  <c r="L80" i="18" s="1"/>
  <c r="B80" i="18"/>
  <c r="Z79" i="18"/>
  <c r="P79" i="18"/>
  <c r="X79" i="18" s="1"/>
  <c r="N79" i="18"/>
  <c r="L79" i="18"/>
  <c r="D79" i="18"/>
  <c r="B79" i="18"/>
  <c r="Z78" i="18"/>
  <c r="X78" i="18"/>
  <c r="P78" i="18"/>
  <c r="N78" i="18"/>
  <c r="D78" i="18"/>
  <c r="L78" i="18" s="1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D76" i="18"/>
  <c r="L76" i="18" s="1"/>
  <c r="B76" i="18"/>
  <c r="Z75" i="18"/>
  <c r="P75" i="18"/>
  <c r="X75" i="18" s="1"/>
  <c r="N75" i="18"/>
  <c r="L75" i="18"/>
  <c r="D75" i="18"/>
  <c r="B75" i="18"/>
  <c r="Z74" i="18"/>
  <c r="X74" i="18"/>
  <c r="P74" i="18"/>
  <c r="N74" i="18"/>
  <c r="D74" i="18"/>
  <c r="L74" i="18" s="1"/>
  <c r="B74" i="18"/>
  <c r="Z73" i="18"/>
  <c r="X73" i="18"/>
  <c r="P73" i="18"/>
  <c r="N73" i="18"/>
  <c r="L73" i="18"/>
  <c r="D73" i="18"/>
  <c r="B73" i="18"/>
  <c r="Z72" i="18"/>
  <c r="X72" i="18"/>
  <c r="P72" i="18"/>
  <c r="N72" i="18"/>
  <c r="D72" i="18"/>
  <c r="L72" i="18" s="1"/>
  <c r="B72" i="18"/>
  <c r="Z71" i="18"/>
  <c r="P71" i="18"/>
  <c r="X71" i="18" s="1"/>
  <c r="N71" i="18"/>
  <c r="L71" i="18"/>
  <c r="D71" i="18"/>
  <c r="B71" i="18"/>
  <c r="Z70" i="18"/>
  <c r="X70" i="18"/>
  <c r="P70" i="18"/>
  <c r="N70" i="18"/>
  <c r="L70" i="18"/>
  <c r="D70" i="18"/>
  <c r="B70" i="18"/>
  <c r="Z69" i="18"/>
  <c r="P69" i="18"/>
  <c r="X69" i="18" s="1"/>
  <c r="N69" i="18"/>
  <c r="L69" i="18"/>
  <c r="D69" i="18"/>
  <c r="B69" i="18"/>
  <c r="Z68" i="18"/>
  <c r="P68" i="18"/>
  <c r="X68" i="18" s="1"/>
  <c r="N68" i="18"/>
  <c r="D68" i="18"/>
  <c r="L68" i="18" s="1"/>
  <c r="B68" i="18"/>
  <c r="Z67" i="18"/>
  <c r="P67" i="18"/>
  <c r="X67" i="18" s="1"/>
  <c r="N67" i="18"/>
  <c r="L67" i="18"/>
  <c r="D67" i="18"/>
  <c r="B67" i="18"/>
  <c r="Z66" i="18"/>
  <c r="X66" i="18"/>
  <c r="P66" i="18"/>
  <c r="N66" i="18"/>
  <c r="D66" i="18"/>
  <c r="L66" i="18" s="1"/>
  <c r="B66" i="18"/>
  <c r="Z65" i="18"/>
  <c r="P65" i="18"/>
  <c r="X65" i="18" s="1"/>
  <c r="N65" i="18"/>
  <c r="D65" i="18"/>
  <c r="L65" i="18" s="1"/>
  <c r="B65" i="18"/>
  <c r="Z64" i="18"/>
  <c r="X64" i="18"/>
  <c r="P64" i="18"/>
  <c r="N64" i="18"/>
  <c r="D64" i="18"/>
  <c r="L64" i="18" s="1"/>
  <c r="B64" i="18"/>
  <c r="Z63" i="18"/>
  <c r="P63" i="18"/>
  <c r="X63" i="18" s="1"/>
  <c r="N63" i="18"/>
  <c r="L63" i="18"/>
  <c r="D63" i="18"/>
  <c r="B63" i="18"/>
  <c r="Z62" i="18"/>
  <c r="X62" i="18"/>
  <c r="P62" i="18"/>
  <c r="N62" i="18"/>
  <c r="D62" i="18"/>
  <c r="L62" i="18" s="1"/>
  <c r="B62" i="18"/>
  <c r="Z61" i="18"/>
  <c r="X61" i="18"/>
  <c r="P61" i="18"/>
  <c r="N61" i="18"/>
  <c r="L61" i="18"/>
  <c r="D61" i="18"/>
  <c r="B61" i="18"/>
  <c r="Z60" i="18"/>
  <c r="X60" i="18"/>
  <c r="P60" i="18"/>
  <c r="N60" i="18"/>
  <c r="D60" i="18"/>
  <c r="L60" i="18" s="1"/>
  <c r="B60" i="18"/>
  <c r="Z59" i="18"/>
  <c r="P59" i="18"/>
  <c r="X59" i="18" s="1"/>
  <c r="N59" i="18"/>
  <c r="L59" i="18"/>
  <c r="D59" i="18"/>
  <c r="B59" i="18"/>
  <c r="Z58" i="18"/>
  <c r="X58" i="18"/>
  <c r="P58" i="18"/>
  <c r="N58" i="18"/>
  <c r="L58" i="18"/>
  <c r="D58" i="18"/>
  <c r="B58" i="18"/>
  <c r="Z57" i="18"/>
  <c r="P57" i="18"/>
  <c r="X57" i="18" s="1"/>
  <c r="N57" i="18"/>
  <c r="L57" i="18"/>
  <c r="D57" i="18"/>
  <c r="B57" i="18"/>
  <c r="Z56" i="18"/>
  <c r="P56" i="18"/>
  <c r="X56" i="18" s="1"/>
  <c r="N56" i="18"/>
  <c r="D56" i="18"/>
  <c r="L56" i="18" s="1"/>
  <c r="B56" i="18"/>
  <c r="Z55" i="18"/>
  <c r="P55" i="18"/>
  <c r="X55" i="18" s="1"/>
  <c r="N55" i="18"/>
  <c r="L55" i="18"/>
  <c r="D55" i="18"/>
  <c r="B55" i="18"/>
  <c r="Z54" i="18"/>
  <c r="X54" i="18"/>
  <c r="P54" i="18"/>
  <c r="N54" i="18"/>
  <c r="D54" i="18"/>
  <c r="L54" i="18" s="1"/>
  <c r="B54" i="18"/>
  <c r="Z53" i="18"/>
  <c r="P53" i="18"/>
  <c r="X53" i="18" s="1"/>
  <c r="N53" i="18"/>
  <c r="D53" i="18"/>
  <c r="L53" i="18" s="1"/>
  <c r="B53" i="18"/>
  <c r="Z52" i="18"/>
  <c r="X52" i="18"/>
  <c r="P52" i="18"/>
  <c r="N52" i="18"/>
  <c r="D52" i="18"/>
  <c r="L52" i="18" s="1"/>
  <c r="B52" i="18"/>
  <c r="Z51" i="18"/>
  <c r="P51" i="18"/>
  <c r="X51" i="18" s="1"/>
  <c r="N51" i="18"/>
  <c r="L51" i="18"/>
  <c r="D51" i="18"/>
  <c r="B51" i="18"/>
  <c r="Z50" i="18"/>
  <c r="X50" i="18"/>
  <c r="P50" i="18"/>
  <c r="N50" i="18"/>
  <c r="D50" i="18"/>
  <c r="L50" i="18" s="1"/>
  <c r="B50" i="18"/>
  <c r="Z49" i="18"/>
  <c r="X49" i="18"/>
  <c r="P49" i="18"/>
  <c r="N49" i="18"/>
  <c r="L49" i="18"/>
  <c r="D49" i="18"/>
  <c r="B49" i="18"/>
  <c r="Z48" i="18"/>
  <c r="X48" i="18"/>
  <c r="P48" i="18"/>
  <c r="N48" i="18"/>
  <c r="D48" i="18"/>
  <c r="L48" i="18" s="1"/>
  <c r="B48" i="18"/>
  <c r="Z47" i="18"/>
  <c r="P47" i="18"/>
  <c r="X47" i="18" s="1"/>
  <c r="N47" i="18"/>
  <c r="L47" i="18"/>
  <c r="D47" i="18"/>
  <c r="B47" i="18"/>
  <c r="Z46" i="18"/>
  <c r="X46" i="18"/>
  <c r="P46" i="18"/>
  <c r="N46" i="18"/>
  <c r="L46" i="18"/>
  <c r="D46" i="18"/>
  <c r="B46" i="18"/>
  <c r="Z45" i="18"/>
  <c r="P45" i="18"/>
  <c r="X45" i="18" s="1"/>
  <c r="N45" i="18"/>
  <c r="L45" i="18"/>
  <c r="D45" i="18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X42" i="18"/>
  <c r="P42" i="18"/>
  <c r="N42" i="18"/>
  <c r="D42" i="18"/>
  <c r="L42" i="18" s="1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D40" i="18"/>
  <c r="L40" i="18" s="1"/>
  <c r="B40" i="18"/>
  <c r="Z39" i="18"/>
  <c r="P39" i="18"/>
  <c r="X39" i="18" s="1"/>
  <c r="N39" i="18"/>
  <c r="L39" i="18"/>
  <c r="D39" i="18"/>
  <c r="B39" i="18"/>
  <c r="Z38" i="18"/>
  <c r="X38" i="18"/>
  <c r="P38" i="18"/>
  <c r="N38" i="18"/>
  <c r="D38" i="18"/>
  <c r="L38" i="18" s="1"/>
  <c r="B38" i="18"/>
  <c r="X37" i="18"/>
  <c r="Z37" i="18" s="1"/>
  <c r="P37" i="18"/>
  <c r="L37" i="18"/>
  <c r="N37" i="18" s="1"/>
  <c r="D37" i="18"/>
  <c r="B37" i="18"/>
  <c r="Z36" i="18"/>
  <c r="X36" i="18"/>
  <c r="P36" i="18"/>
  <c r="N36" i="18"/>
  <c r="D36" i="18"/>
  <c r="L36" i="18" s="1"/>
  <c r="B36" i="18"/>
  <c r="Z35" i="18"/>
  <c r="P35" i="18"/>
  <c r="X35" i="18" s="1"/>
  <c r="N35" i="18"/>
  <c r="L35" i="18"/>
  <c r="D35" i="18"/>
  <c r="B35" i="18"/>
  <c r="Z34" i="18"/>
  <c r="X34" i="18"/>
  <c r="P34" i="18"/>
  <c r="N34" i="18"/>
  <c r="L34" i="18"/>
  <c r="D34" i="18"/>
  <c r="B34" i="18"/>
  <c r="Z33" i="18"/>
  <c r="P33" i="18"/>
  <c r="X33" i="18" s="1"/>
  <c r="N33" i="18"/>
  <c r="L33" i="18"/>
  <c r="D33" i="18"/>
  <c r="B33" i="18"/>
  <c r="Z32" i="18"/>
  <c r="P32" i="18"/>
  <c r="X32" i="18" s="1"/>
  <c r="N32" i="18"/>
  <c r="D32" i="18"/>
  <c r="L32" i="18" s="1"/>
  <c r="B32" i="18"/>
  <c r="Z31" i="18"/>
  <c r="P31" i="18"/>
  <c r="X31" i="18" s="1"/>
  <c r="N31" i="18"/>
  <c r="L31" i="18"/>
  <c r="D31" i="18"/>
  <c r="B31" i="18"/>
  <c r="Z30" i="18"/>
  <c r="X30" i="18"/>
  <c r="P30" i="18"/>
  <c r="N30" i="18"/>
  <c r="D30" i="18"/>
  <c r="L30" i="18" s="1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D28" i="18"/>
  <c r="L28" i="18" s="1"/>
  <c r="B28" i="18"/>
  <c r="Z27" i="18"/>
  <c r="P27" i="18"/>
  <c r="X27" i="18" s="1"/>
  <c r="N27" i="18"/>
  <c r="L27" i="18"/>
  <c r="D27" i="18"/>
  <c r="B27" i="18"/>
  <c r="Z26" i="18"/>
  <c r="X26" i="18"/>
  <c r="P26" i="18"/>
  <c r="N26" i="18"/>
  <c r="D26" i="18"/>
  <c r="L26" i="18" s="1"/>
  <c r="B26" i="18"/>
  <c r="Z25" i="18"/>
  <c r="X25" i="18"/>
  <c r="P25" i="18"/>
  <c r="N25" i="18"/>
  <c r="L25" i="18"/>
  <c r="D25" i="18"/>
  <c r="B25" i="18"/>
  <c r="Z24" i="18"/>
  <c r="X24" i="18"/>
  <c r="P24" i="18"/>
  <c r="N24" i="18"/>
  <c r="D24" i="18"/>
  <c r="L24" i="18" s="1"/>
  <c r="B24" i="18"/>
  <c r="Z23" i="18"/>
  <c r="P23" i="18"/>
  <c r="X23" i="18" s="1"/>
  <c r="N23" i="18"/>
  <c r="L23" i="18"/>
  <c r="D23" i="18"/>
  <c r="B23" i="18"/>
  <c r="Z22" i="18"/>
  <c r="X22" i="18"/>
  <c r="P22" i="18"/>
  <c r="N22" i="18"/>
  <c r="L22" i="18"/>
  <c r="D22" i="18"/>
  <c r="B22" i="18"/>
  <c r="Z21" i="18"/>
  <c r="P21" i="18"/>
  <c r="X21" i="18" s="1"/>
  <c r="N21" i="18"/>
  <c r="L21" i="18"/>
  <c r="D21" i="18"/>
  <c r="B21" i="18"/>
  <c r="Z20" i="18"/>
  <c r="P20" i="18"/>
  <c r="X20" i="18" s="1"/>
  <c r="N20" i="18"/>
  <c r="D20" i="18"/>
  <c r="L20" i="18" s="1"/>
  <c r="B20" i="18"/>
  <c r="Z19" i="18"/>
  <c r="P19" i="18"/>
  <c r="X19" i="18" s="1"/>
  <c r="N19" i="18"/>
  <c r="L19" i="18"/>
  <c r="D19" i="18"/>
  <c r="B19" i="18"/>
  <c r="Z18" i="18"/>
  <c r="X18" i="18"/>
  <c r="P18" i="18"/>
  <c r="N18" i="18"/>
  <c r="D18" i="18"/>
  <c r="L18" i="18" s="1"/>
  <c r="B18" i="18"/>
  <c r="Z17" i="18"/>
  <c r="P17" i="18"/>
  <c r="X17" i="18" s="1"/>
  <c r="N17" i="18"/>
  <c r="D17" i="18"/>
  <c r="L17" i="18" s="1"/>
  <c r="B17" i="18"/>
  <c r="Z16" i="18"/>
  <c r="X16" i="18"/>
  <c r="P16" i="18"/>
  <c r="N16" i="18"/>
  <c r="D16" i="18"/>
  <c r="L16" i="18" s="1"/>
  <c r="B16" i="18"/>
  <c r="Z15" i="18"/>
  <c r="P15" i="18"/>
  <c r="X15" i="18" s="1"/>
  <c r="N15" i="18"/>
  <c r="L15" i="18"/>
  <c r="D15" i="18"/>
  <c r="B15" i="18"/>
  <c r="Z14" i="18"/>
  <c r="X14" i="18"/>
  <c r="P14" i="18"/>
  <c r="N14" i="18"/>
  <c r="D14" i="18"/>
  <c r="L14" i="18" s="1"/>
  <c r="B14" i="18"/>
  <c r="X13" i="18"/>
  <c r="Z13" i="18" s="1"/>
  <c r="P13" i="18"/>
  <c r="L13" i="18"/>
  <c r="N13" i="18" s="1"/>
  <c r="D13" i="18"/>
  <c r="B13" i="18"/>
  <c r="T12" i="18"/>
  <c r="V225" i="18" s="1"/>
  <c r="H12" i="18"/>
  <c r="D4" i="18"/>
  <c r="Z220" i="15"/>
  <c r="X220" i="15"/>
  <c r="N220" i="15"/>
  <c r="L220" i="15"/>
  <c r="Z216" i="15"/>
  <c r="P216" i="15"/>
  <c r="X216" i="15" s="1"/>
  <c r="N216" i="15"/>
  <c r="L216" i="15"/>
  <c r="D216" i="15"/>
  <c r="B216" i="15"/>
  <c r="Z215" i="15"/>
  <c r="X215" i="15"/>
  <c r="P215" i="15"/>
  <c r="N215" i="15"/>
  <c r="D215" i="15"/>
  <c r="L215" i="15" s="1"/>
  <c r="B215" i="15"/>
  <c r="P214" i="15"/>
  <c r="L214" i="15"/>
  <c r="N214" i="15" s="1"/>
  <c r="D214" i="15"/>
  <c r="B214" i="15"/>
  <c r="X213" i="15"/>
  <c r="Z213" i="15" s="1"/>
  <c r="P213" i="15"/>
  <c r="D213" i="15"/>
  <c r="D212" i="15" s="1"/>
  <c r="L212" i="15" s="1"/>
  <c r="B213" i="15"/>
  <c r="T212" i="15"/>
  <c r="N212" i="15"/>
  <c r="H212" i="15"/>
  <c r="Z210" i="15"/>
  <c r="X210" i="15"/>
  <c r="N210" i="15"/>
  <c r="L210" i="15"/>
  <c r="B210" i="15"/>
  <c r="X209" i="15"/>
  <c r="T209" i="15"/>
  <c r="Z209" i="15" s="1"/>
  <c r="P209" i="15"/>
  <c r="H209" i="15"/>
  <c r="D209" i="15"/>
  <c r="B209" i="15"/>
  <c r="Z208" i="15"/>
  <c r="X208" i="15"/>
  <c r="L208" i="15"/>
  <c r="N208" i="15" s="1"/>
  <c r="B208" i="15"/>
  <c r="X207" i="15"/>
  <c r="Z207" i="15" s="1"/>
  <c r="L207" i="15"/>
  <c r="N207" i="15" s="1"/>
  <c r="B207" i="15"/>
  <c r="Z206" i="15"/>
  <c r="X206" i="15"/>
  <c r="V206" i="15"/>
  <c r="N206" i="15"/>
  <c r="L206" i="15"/>
  <c r="B206" i="15"/>
  <c r="T205" i="15"/>
  <c r="P205" i="15"/>
  <c r="X205" i="15" s="1"/>
  <c r="H205" i="15"/>
  <c r="D205" i="15"/>
  <c r="L205" i="15" s="1"/>
  <c r="B205" i="15"/>
  <c r="X204" i="15"/>
  <c r="Z204" i="15" s="1"/>
  <c r="N204" i="15"/>
  <c r="L204" i="15"/>
  <c r="B204" i="15"/>
  <c r="T203" i="15"/>
  <c r="Z203" i="15" s="1"/>
  <c r="P203" i="15"/>
  <c r="X203" i="15" s="1"/>
  <c r="L203" i="15"/>
  <c r="H203" i="15"/>
  <c r="D203" i="15"/>
  <c r="B203" i="15"/>
  <c r="Z202" i="15"/>
  <c r="X202" i="15"/>
  <c r="N202" i="15"/>
  <c r="L202" i="15"/>
  <c r="J202" i="15"/>
  <c r="B202" i="15"/>
  <c r="X201" i="15"/>
  <c r="Z201" i="15" s="1"/>
  <c r="L201" i="15"/>
  <c r="N201" i="15" s="1"/>
  <c r="B201" i="15"/>
  <c r="Z200" i="15"/>
  <c r="T200" i="15"/>
  <c r="P200" i="15"/>
  <c r="X200" i="15" s="1"/>
  <c r="H200" i="15"/>
  <c r="N200" i="15" s="1"/>
  <c r="D200" i="15"/>
  <c r="L200" i="15" s="1"/>
  <c r="B200" i="15"/>
  <c r="X199" i="15"/>
  <c r="Z199" i="15" s="1"/>
  <c r="L199" i="15"/>
  <c r="N199" i="15" s="1"/>
  <c r="B199" i="15"/>
  <c r="Z198" i="15"/>
  <c r="X198" i="15"/>
  <c r="N198" i="15"/>
  <c r="L198" i="15"/>
  <c r="B198" i="15"/>
  <c r="X197" i="15"/>
  <c r="Z197" i="15" s="1"/>
  <c r="L197" i="15"/>
  <c r="N197" i="15" s="1"/>
  <c r="B197" i="15"/>
  <c r="Z196" i="15"/>
  <c r="X196" i="15"/>
  <c r="N196" i="15"/>
  <c r="L196" i="15"/>
  <c r="B196" i="15"/>
  <c r="X195" i="15"/>
  <c r="Z195" i="15" s="1"/>
  <c r="L195" i="15"/>
  <c r="N195" i="15" s="1"/>
  <c r="B195" i="15"/>
  <c r="Z194" i="15"/>
  <c r="X194" i="15"/>
  <c r="L194" i="15"/>
  <c r="N194" i="15" s="1"/>
  <c r="B194" i="15"/>
  <c r="X193" i="15"/>
  <c r="Z193" i="15" s="1"/>
  <c r="L193" i="15"/>
  <c r="N193" i="15" s="1"/>
  <c r="B193" i="15"/>
  <c r="Z192" i="15"/>
  <c r="X192" i="15"/>
  <c r="L192" i="15"/>
  <c r="N192" i="15" s="1"/>
  <c r="B192" i="15"/>
  <c r="X191" i="15"/>
  <c r="Z191" i="15" s="1"/>
  <c r="L191" i="15"/>
  <c r="N191" i="15" s="1"/>
  <c r="B191" i="15"/>
  <c r="T190" i="15"/>
  <c r="P190" i="15"/>
  <c r="X190" i="15" s="1"/>
  <c r="Z190" i="15" s="1"/>
  <c r="H190" i="15"/>
  <c r="D190" i="15"/>
  <c r="L190" i="15" s="1"/>
  <c r="N190" i="15" s="1"/>
  <c r="B190" i="15"/>
  <c r="Z189" i="15"/>
  <c r="X189" i="15"/>
  <c r="N189" i="15"/>
  <c r="L189" i="15"/>
  <c r="B189" i="15"/>
  <c r="X188" i="15"/>
  <c r="Z188" i="15" s="1"/>
  <c r="N188" i="15"/>
  <c r="L188" i="15"/>
  <c r="B188" i="15"/>
  <c r="T187" i="15"/>
  <c r="Z187" i="15" s="1"/>
  <c r="P187" i="15"/>
  <c r="X187" i="15" s="1"/>
  <c r="L187" i="15"/>
  <c r="H187" i="15"/>
  <c r="N187" i="15" s="1"/>
  <c r="D187" i="15"/>
  <c r="B187" i="15"/>
  <c r="Z186" i="15"/>
  <c r="X186" i="15"/>
  <c r="N186" i="15"/>
  <c r="L186" i="15"/>
  <c r="B186" i="15"/>
  <c r="X185" i="15"/>
  <c r="Z185" i="15" s="1"/>
  <c r="L185" i="15"/>
  <c r="N185" i="15" s="1"/>
  <c r="B185" i="15"/>
  <c r="Z184" i="15"/>
  <c r="X184" i="15"/>
  <c r="N184" i="15"/>
  <c r="L184" i="15"/>
  <c r="B184" i="15"/>
  <c r="Z183" i="15"/>
  <c r="X183" i="15"/>
  <c r="L183" i="15"/>
  <c r="N183" i="15" s="1"/>
  <c r="B183" i="15"/>
  <c r="T182" i="15"/>
  <c r="Z182" i="15" s="1"/>
  <c r="P182" i="15"/>
  <c r="X182" i="15" s="1"/>
  <c r="H182" i="15"/>
  <c r="D182" i="15"/>
  <c r="L182" i="15" s="1"/>
  <c r="N182" i="15" s="1"/>
  <c r="B182" i="15"/>
  <c r="X181" i="15"/>
  <c r="Z181" i="15" s="1"/>
  <c r="L181" i="15"/>
  <c r="N181" i="15" s="1"/>
  <c r="B181" i="15"/>
  <c r="Z180" i="15"/>
  <c r="X180" i="15"/>
  <c r="L180" i="15"/>
  <c r="N180" i="15" s="1"/>
  <c r="B180" i="15"/>
  <c r="X179" i="15"/>
  <c r="Z179" i="15" s="1"/>
  <c r="L179" i="15"/>
  <c r="N179" i="15" s="1"/>
  <c r="B179" i="15"/>
  <c r="Z178" i="15"/>
  <c r="X178" i="15"/>
  <c r="L178" i="15"/>
  <c r="N178" i="15" s="1"/>
  <c r="B178" i="15"/>
  <c r="T177" i="15"/>
  <c r="P177" i="15"/>
  <c r="X177" i="15" s="1"/>
  <c r="H177" i="15"/>
  <c r="N177" i="15" s="1"/>
  <c r="D177" i="15"/>
  <c r="L177" i="15" s="1"/>
  <c r="B177" i="15"/>
  <c r="X176" i="15"/>
  <c r="Z176" i="15" s="1"/>
  <c r="N176" i="15"/>
  <c r="L176" i="15"/>
  <c r="B176" i="15"/>
  <c r="X175" i="15"/>
  <c r="Z175" i="15" s="1"/>
  <c r="N175" i="15"/>
  <c r="L175" i="15"/>
  <c r="B175" i="15"/>
  <c r="Z174" i="15"/>
  <c r="X174" i="15"/>
  <c r="N174" i="15"/>
  <c r="L174" i="15"/>
  <c r="B174" i="15"/>
  <c r="X173" i="15"/>
  <c r="Z173" i="15" s="1"/>
  <c r="N173" i="15"/>
  <c r="L173" i="15"/>
  <c r="B173" i="15"/>
  <c r="X172" i="15"/>
  <c r="Z172" i="15" s="1"/>
  <c r="T172" i="15"/>
  <c r="P172" i="15"/>
  <c r="L172" i="15"/>
  <c r="H172" i="15"/>
  <c r="N172" i="15" s="1"/>
  <c r="D172" i="15"/>
  <c r="B172" i="15"/>
  <c r="Z171" i="15"/>
  <c r="X171" i="15"/>
  <c r="L171" i="15"/>
  <c r="N171" i="15" s="1"/>
  <c r="B171" i="15"/>
  <c r="T170" i="15"/>
  <c r="P170" i="15"/>
  <c r="X170" i="15" s="1"/>
  <c r="N170" i="15"/>
  <c r="H170" i="15"/>
  <c r="D170" i="15"/>
  <c r="L170" i="15" s="1"/>
  <c r="B170" i="15"/>
  <c r="X169" i="15"/>
  <c r="Z169" i="15" s="1"/>
  <c r="N169" i="15"/>
  <c r="L169" i="15"/>
  <c r="B169" i="15"/>
  <c r="T168" i="15"/>
  <c r="P168" i="15"/>
  <c r="X168" i="15" s="1"/>
  <c r="Z168" i="15" s="1"/>
  <c r="N168" i="15"/>
  <c r="J168" i="15"/>
  <c r="H168" i="15"/>
  <c r="D168" i="15"/>
  <c r="L168" i="15" s="1"/>
  <c r="B168" i="15"/>
  <c r="X167" i="15"/>
  <c r="Z167" i="15" s="1"/>
  <c r="N167" i="15"/>
  <c r="L167" i="15"/>
  <c r="B167" i="15"/>
  <c r="T166" i="15"/>
  <c r="P166" i="15"/>
  <c r="L166" i="15"/>
  <c r="N166" i="15" s="1"/>
  <c r="H166" i="15"/>
  <c r="D166" i="15"/>
  <c r="B166" i="15"/>
  <c r="X165" i="15"/>
  <c r="Z165" i="15" s="1"/>
  <c r="L165" i="15"/>
  <c r="N165" i="15" s="1"/>
  <c r="B165" i="15"/>
  <c r="T164" i="15"/>
  <c r="P164" i="15"/>
  <c r="X164" i="15" s="1"/>
  <c r="Z164" i="15" s="1"/>
  <c r="H164" i="15"/>
  <c r="N164" i="15" s="1"/>
  <c r="D164" i="15"/>
  <c r="L164" i="15" s="1"/>
  <c r="B164" i="15"/>
  <c r="X163" i="15"/>
  <c r="Z163" i="15" s="1"/>
  <c r="L163" i="15"/>
  <c r="N163" i="15" s="1"/>
  <c r="B163" i="15"/>
  <c r="Z162" i="15"/>
  <c r="X162" i="15"/>
  <c r="N162" i="15"/>
  <c r="L162" i="15"/>
  <c r="B162" i="15"/>
  <c r="X161" i="15"/>
  <c r="Z161" i="15" s="1"/>
  <c r="L161" i="15"/>
  <c r="N161" i="15" s="1"/>
  <c r="B161" i="15"/>
  <c r="T160" i="15"/>
  <c r="P160" i="15"/>
  <c r="X160" i="15" s="1"/>
  <c r="Z160" i="15" s="1"/>
  <c r="H160" i="15"/>
  <c r="D160" i="15"/>
  <c r="L160" i="15" s="1"/>
  <c r="N160" i="15" s="1"/>
  <c r="B160" i="15"/>
  <c r="X159" i="15"/>
  <c r="Z159" i="15" s="1"/>
  <c r="N159" i="15"/>
  <c r="L159" i="15"/>
  <c r="B159" i="15"/>
  <c r="X158" i="15"/>
  <c r="Z158" i="15" s="1"/>
  <c r="N158" i="15"/>
  <c r="L158" i="15"/>
  <c r="B158" i="15"/>
  <c r="X157" i="15"/>
  <c r="T157" i="15"/>
  <c r="P157" i="15"/>
  <c r="H157" i="15"/>
  <c r="D157" i="15"/>
  <c r="B157" i="15"/>
  <c r="Z156" i="15"/>
  <c r="X156" i="15"/>
  <c r="N156" i="15"/>
  <c r="L156" i="15"/>
  <c r="B156" i="15"/>
  <c r="T155" i="15"/>
  <c r="P155" i="15"/>
  <c r="L155" i="15"/>
  <c r="H155" i="15"/>
  <c r="N155" i="15" s="1"/>
  <c r="D155" i="15"/>
  <c r="B155" i="15"/>
  <c r="Z154" i="15"/>
  <c r="X154" i="15"/>
  <c r="L154" i="15"/>
  <c r="N154" i="15" s="1"/>
  <c r="B154" i="15"/>
  <c r="T153" i="15"/>
  <c r="Z153" i="15" s="1"/>
  <c r="P153" i="15"/>
  <c r="X153" i="15" s="1"/>
  <c r="H153" i="15"/>
  <c r="N153" i="15" s="1"/>
  <c r="D153" i="15"/>
  <c r="L153" i="15" s="1"/>
  <c r="B153" i="15"/>
  <c r="X152" i="15"/>
  <c r="Z152" i="15" s="1"/>
  <c r="N152" i="15"/>
  <c r="L152" i="15"/>
  <c r="B152" i="15"/>
  <c r="Z151" i="15"/>
  <c r="X151" i="15"/>
  <c r="N151" i="15"/>
  <c r="L151" i="15"/>
  <c r="B151" i="15"/>
  <c r="T150" i="15"/>
  <c r="P150" i="15"/>
  <c r="L150" i="15"/>
  <c r="N150" i="15" s="1"/>
  <c r="H150" i="15"/>
  <c r="D150" i="15"/>
  <c r="B150" i="15"/>
  <c r="Z149" i="15"/>
  <c r="X149" i="15"/>
  <c r="N149" i="15"/>
  <c r="L149" i="15"/>
  <c r="B149" i="15"/>
  <c r="Z148" i="15"/>
  <c r="X148" i="15"/>
  <c r="N148" i="15"/>
  <c r="L148" i="15"/>
  <c r="B148" i="15"/>
  <c r="T147" i="15"/>
  <c r="P147" i="15"/>
  <c r="L147" i="15"/>
  <c r="H147" i="15"/>
  <c r="N147" i="15" s="1"/>
  <c r="D147" i="15"/>
  <c r="B147" i="15"/>
  <c r="Z146" i="15"/>
  <c r="X146" i="15"/>
  <c r="L146" i="15"/>
  <c r="N146" i="15" s="1"/>
  <c r="B146" i="15"/>
  <c r="Z145" i="15"/>
  <c r="X145" i="15"/>
  <c r="N145" i="15"/>
  <c r="L145" i="15"/>
  <c r="B145" i="15"/>
  <c r="T144" i="15"/>
  <c r="P144" i="15"/>
  <c r="X144" i="15" s="1"/>
  <c r="Z144" i="15" s="1"/>
  <c r="H144" i="15"/>
  <c r="D144" i="15"/>
  <c r="L144" i="15" s="1"/>
  <c r="N144" i="15" s="1"/>
  <c r="B144" i="15"/>
  <c r="X143" i="15"/>
  <c r="Z143" i="15" s="1"/>
  <c r="N143" i="15"/>
  <c r="L143" i="15"/>
  <c r="B143" i="15"/>
  <c r="T142" i="15"/>
  <c r="P142" i="15"/>
  <c r="L142" i="15"/>
  <c r="N142" i="15" s="1"/>
  <c r="H142" i="15"/>
  <c r="D142" i="15"/>
  <c r="B142" i="15"/>
  <c r="X141" i="15"/>
  <c r="Z141" i="15" s="1"/>
  <c r="L141" i="15"/>
  <c r="N141" i="15" s="1"/>
  <c r="B141" i="15"/>
  <c r="Z140" i="15"/>
  <c r="X140" i="15"/>
  <c r="N140" i="15"/>
  <c r="L140" i="15"/>
  <c r="B140" i="15"/>
  <c r="T139" i="15"/>
  <c r="P139" i="15"/>
  <c r="L139" i="15"/>
  <c r="H139" i="15"/>
  <c r="N139" i="15" s="1"/>
  <c r="D139" i="15"/>
  <c r="B139" i="15"/>
  <c r="Z138" i="15"/>
  <c r="X138" i="15"/>
  <c r="V138" i="15"/>
  <c r="L138" i="15"/>
  <c r="N138" i="15" s="1"/>
  <c r="B138" i="15"/>
  <c r="T137" i="15"/>
  <c r="P137" i="15"/>
  <c r="X137" i="15" s="1"/>
  <c r="H137" i="15"/>
  <c r="D137" i="15"/>
  <c r="L137" i="15" s="1"/>
  <c r="B137" i="15"/>
  <c r="Z136" i="15"/>
  <c r="X136" i="15"/>
  <c r="N136" i="15"/>
  <c r="L136" i="15"/>
  <c r="B136" i="15"/>
  <c r="Z135" i="15"/>
  <c r="X135" i="15"/>
  <c r="N135" i="15"/>
  <c r="L135" i="15"/>
  <c r="B135" i="15"/>
  <c r="X134" i="15"/>
  <c r="Z134" i="15" s="1"/>
  <c r="N134" i="15"/>
  <c r="L134" i="15"/>
  <c r="B134" i="15"/>
  <c r="X133" i="15"/>
  <c r="Z133" i="15" s="1"/>
  <c r="N133" i="15"/>
  <c r="L133" i="15"/>
  <c r="B133" i="15"/>
  <c r="Z132" i="15"/>
  <c r="X132" i="15"/>
  <c r="N132" i="15"/>
  <c r="L132" i="15"/>
  <c r="B132" i="15"/>
  <c r="X131" i="15"/>
  <c r="Z131" i="15" s="1"/>
  <c r="N131" i="15"/>
  <c r="L131" i="15"/>
  <c r="B131" i="15"/>
  <c r="X130" i="15"/>
  <c r="Z130" i="15" s="1"/>
  <c r="N130" i="15"/>
  <c r="L130" i="15"/>
  <c r="B130" i="15"/>
  <c r="Z129" i="15"/>
  <c r="X129" i="15"/>
  <c r="N129" i="15"/>
  <c r="L129" i="15"/>
  <c r="B129" i="15"/>
  <c r="X128" i="15"/>
  <c r="Z128" i="15" s="1"/>
  <c r="N128" i="15"/>
  <c r="L128" i="15"/>
  <c r="B128" i="15"/>
  <c r="X127" i="15"/>
  <c r="Z127" i="15" s="1"/>
  <c r="N127" i="15"/>
  <c r="L127" i="15"/>
  <c r="B127" i="15"/>
  <c r="T126" i="15"/>
  <c r="P126" i="15"/>
  <c r="L126" i="15"/>
  <c r="N126" i="15" s="1"/>
  <c r="H126" i="15"/>
  <c r="D126" i="15"/>
  <c r="B126" i="15"/>
  <c r="X125" i="15"/>
  <c r="Z125" i="15" s="1"/>
  <c r="L125" i="15"/>
  <c r="N125" i="15" s="1"/>
  <c r="B125" i="15"/>
  <c r="Z124" i="15"/>
  <c r="X124" i="15"/>
  <c r="N124" i="15"/>
  <c r="L124" i="15"/>
  <c r="B124" i="15"/>
  <c r="Z123" i="15"/>
  <c r="X123" i="15"/>
  <c r="L123" i="15"/>
  <c r="N123" i="15" s="1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L119" i="15"/>
  <c r="N119" i="15" s="1"/>
  <c r="B119" i="15"/>
  <c r="Z118" i="15"/>
  <c r="X118" i="15"/>
  <c r="N118" i="15"/>
  <c r="L118" i="15"/>
  <c r="B118" i="15"/>
  <c r="X117" i="15"/>
  <c r="Z117" i="15" s="1"/>
  <c r="L117" i="15"/>
  <c r="N117" i="15" s="1"/>
  <c r="B117" i="15"/>
  <c r="Z116" i="15"/>
  <c r="X116" i="15"/>
  <c r="N116" i="15"/>
  <c r="L116" i="15"/>
  <c r="B116" i="15"/>
  <c r="T115" i="15"/>
  <c r="P115" i="15"/>
  <c r="L115" i="15"/>
  <c r="H115" i="15"/>
  <c r="D115" i="15"/>
  <c r="B115" i="15"/>
  <c r="T114" i="15"/>
  <c r="P114" i="15"/>
  <c r="H114" i="15"/>
  <c r="D114" i="15"/>
  <c r="L114" i="15" s="1"/>
  <c r="N114" i="15" s="1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B103" i="15"/>
  <c r="Z102" i="15"/>
  <c r="X102" i="15"/>
  <c r="N102" i="15"/>
  <c r="L102" i="15"/>
  <c r="B102" i="15"/>
  <c r="Z101" i="15"/>
  <c r="X101" i="15"/>
  <c r="N101" i="15"/>
  <c r="L101" i="15"/>
  <c r="B101" i="15"/>
  <c r="Z100" i="15"/>
  <c r="X100" i="15"/>
  <c r="N100" i="15"/>
  <c r="L100" i="15"/>
  <c r="B100" i="15"/>
  <c r="Z99" i="15"/>
  <c r="X99" i="15"/>
  <c r="N99" i="15"/>
  <c r="L99" i="15"/>
  <c r="B99" i="15"/>
  <c r="Z98" i="15"/>
  <c r="X98" i="15"/>
  <c r="N98" i="15"/>
  <c r="L98" i="15"/>
  <c r="B98" i="15"/>
  <c r="Z97" i="15"/>
  <c r="X97" i="15"/>
  <c r="N97" i="15"/>
  <c r="L97" i="15"/>
  <c r="B97" i="15"/>
  <c r="Z96" i="15"/>
  <c r="X96" i="15"/>
  <c r="N96" i="15"/>
  <c r="L96" i="15"/>
  <c r="B96" i="15"/>
  <c r="Z95" i="15"/>
  <c r="X95" i="15"/>
  <c r="N95" i="15"/>
  <c r="L95" i="15"/>
  <c r="B95" i="15"/>
  <c r="Z94" i="15"/>
  <c r="X94" i="15"/>
  <c r="N94" i="15"/>
  <c r="L94" i="15"/>
  <c r="B94" i="15"/>
  <c r="Z93" i="15"/>
  <c r="X93" i="15"/>
  <c r="N93" i="15"/>
  <c r="L93" i="15"/>
  <c r="B93" i="15"/>
  <c r="Z92" i="15"/>
  <c r="X92" i="15"/>
  <c r="N92" i="15"/>
  <c r="L92" i="15"/>
  <c r="B92" i="15"/>
  <c r="Z91" i="15"/>
  <c r="X91" i="15"/>
  <c r="N91" i="15"/>
  <c r="L91" i="15"/>
  <c r="B91" i="15"/>
  <c r="Z90" i="15"/>
  <c r="X90" i="15"/>
  <c r="N90" i="15"/>
  <c r="L90" i="15"/>
  <c r="B90" i="15"/>
  <c r="Z89" i="15"/>
  <c r="X89" i="15"/>
  <c r="N89" i="15"/>
  <c r="L89" i="15"/>
  <c r="B89" i="15"/>
  <c r="Z88" i="15"/>
  <c r="X88" i="15"/>
  <c r="N88" i="15"/>
  <c r="L88" i="15"/>
  <c r="B88" i="15"/>
  <c r="Z87" i="15"/>
  <c r="X87" i="15"/>
  <c r="N87" i="15"/>
  <c r="L87" i="15"/>
  <c r="B87" i="15"/>
  <c r="Z86" i="15"/>
  <c r="X86" i="15"/>
  <c r="N86" i="15"/>
  <c r="L86" i="15"/>
  <c r="B86" i="15"/>
  <c r="Z85" i="15"/>
  <c r="X85" i="15"/>
  <c r="N85" i="15"/>
  <c r="L85" i="15"/>
  <c r="B85" i="15"/>
  <c r="Z84" i="15"/>
  <c r="X84" i="15"/>
  <c r="N84" i="15"/>
  <c r="L84" i="15"/>
  <c r="B84" i="15"/>
  <c r="Z83" i="15"/>
  <c r="X83" i="15"/>
  <c r="N83" i="15"/>
  <c r="L83" i="15"/>
  <c r="B83" i="15"/>
  <c r="Z82" i="15"/>
  <c r="X82" i="15"/>
  <c r="N82" i="15"/>
  <c r="L82" i="15"/>
  <c r="B82" i="15"/>
  <c r="Z81" i="15"/>
  <c r="X81" i="15"/>
  <c r="N81" i="15"/>
  <c r="L81" i="15"/>
  <c r="B81" i="15"/>
  <c r="Z80" i="15"/>
  <c r="X80" i="15"/>
  <c r="N80" i="15"/>
  <c r="L80" i="15"/>
  <c r="B80" i="15"/>
  <c r="Z79" i="15"/>
  <c r="X79" i="15"/>
  <c r="N79" i="15"/>
  <c r="L79" i="15"/>
  <c r="B79" i="15"/>
  <c r="Z78" i="15"/>
  <c r="X78" i="15"/>
  <c r="N78" i="15"/>
  <c r="L78" i="15"/>
  <c r="B78" i="15"/>
  <c r="X77" i="15"/>
  <c r="Z77" i="15" s="1"/>
  <c r="L77" i="15"/>
  <c r="N77" i="15" s="1"/>
  <c r="B77" i="15"/>
  <c r="Z76" i="15"/>
  <c r="T76" i="15"/>
  <c r="P76" i="15"/>
  <c r="X76" i="15" s="1"/>
  <c r="H76" i="15"/>
  <c r="D76" i="15"/>
  <c r="L76" i="15" s="1"/>
  <c r="N76" i="15" s="1"/>
  <c r="Z74" i="15"/>
  <c r="P74" i="15"/>
  <c r="X74" i="15" s="1"/>
  <c r="N74" i="15"/>
  <c r="D74" i="15"/>
  <c r="L74" i="15" s="1"/>
  <c r="B74" i="15"/>
  <c r="Z73" i="15"/>
  <c r="X73" i="15"/>
  <c r="P73" i="15"/>
  <c r="N73" i="15"/>
  <c r="D73" i="15"/>
  <c r="L73" i="15" s="1"/>
  <c r="B73" i="15"/>
  <c r="Z72" i="15"/>
  <c r="P72" i="15"/>
  <c r="X72" i="15" s="1"/>
  <c r="N72" i="15"/>
  <c r="L72" i="15"/>
  <c r="D72" i="15"/>
  <c r="B72" i="15"/>
  <c r="Z71" i="15"/>
  <c r="P71" i="15"/>
  <c r="X71" i="15" s="1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D69" i="15"/>
  <c r="L69" i="15" s="1"/>
  <c r="B69" i="15"/>
  <c r="Z68" i="15"/>
  <c r="P68" i="15"/>
  <c r="X68" i="15" s="1"/>
  <c r="N68" i="15"/>
  <c r="D68" i="15"/>
  <c r="L68" i="15" s="1"/>
  <c r="B68" i="15"/>
  <c r="Z67" i="15"/>
  <c r="X67" i="15"/>
  <c r="P67" i="15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L64" i="15"/>
  <c r="D64" i="15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D62" i="15"/>
  <c r="L62" i="15" s="1"/>
  <c r="B62" i="15"/>
  <c r="Z61" i="15"/>
  <c r="X61" i="15"/>
  <c r="P61" i="15"/>
  <c r="N61" i="15"/>
  <c r="D61" i="15"/>
  <c r="L61" i="15" s="1"/>
  <c r="B61" i="15"/>
  <c r="Z60" i="15"/>
  <c r="P60" i="15"/>
  <c r="X60" i="15" s="1"/>
  <c r="N60" i="15"/>
  <c r="L60" i="15"/>
  <c r="D60" i="15"/>
  <c r="B60" i="15"/>
  <c r="Z59" i="15"/>
  <c r="P59" i="15"/>
  <c r="X59" i="15" s="1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X57" i="15"/>
  <c r="P57" i="15"/>
  <c r="N57" i="15"/>
  <c r="D57" i="15"/>
  <c r="L57" i="15" s="1"/>
  <c r="B57" i="15"/>
  <c r="Z56" i="15"/>
  <c r="P56" i="15"/>
  <c r="X56" i="15" s="1"/>
  <c r="N56" i="15"/>
  <c r="D56" i="15"/>
  <c r="L56" i="15" s="1"/>
  <c r="B56" i="15"/>
  <c r="Z55" i="15"/>
  <c r="X55" i="15"/>
  <c r="P55" i="15"/>
  <c r="N55" i="15"/>
  <c r="L55" i="15"/>
  <c r="D55" i="15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X51" i="15"/>
  <c r="P51" i="15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D49" i="15"/>
  <c r="L49" i="15" s="1"/>
  <c r="B49" i="15"/>
  <c r="Z48" i="15"/>
  <c r="P48" i="15"/>
  <c r="X48" i="15" s="1"/>
  <c r="N48" i="15"/>
  <c r="L48" i="15"/>
  <c r="D48" i="15"/>
  <c r="B48" i="15"/>
  <c r="Z47" i="15"/>
  <c r="P47" i="15"/>
  <c r="X47" i="15" s="1"/>
  <c r="N47" i="15"/>
  <c r="D47" i="15"/>
  <c r="L47" i="15" s="1"/>
  <c r="B47" i="15"/>
  <c r="Z46" i="15"/>
  <c r="X46" i="15"/>
  <c r="P46" i="15"/>
  <c r="N46" i="15"/>
  <c r="L46" i="15"/>
  <c r="D46" i="15"/>
  <c r="B46" i="15"/>
  <c r="Z45" i="15"/>
  <c r="X45" i="15"/>
  <c r="P45" i="15"/>
  <c r="N45" i="15"/>
  <c r="D45" i="15"/>
  <c r="L45" i="15" s="1"/>
  <c r="B45" i="15"/>
  <c r="Z44" i="15"/>
  <c r="P44" i="15"/>
  <c r="X44" i="15" s="1"/>
  <c r="N44" i="15"/>
  <c r="D44" i="15"/>
  <c r="L44" i="15" s="1"/>
  <c r="B44" i="15"/>
  <c r="Z43" i="15"/>
  <c r="X43" i="15"/>
  <c r="P43" i="15"/>
  <c r="N43" i="15"/>
  <c r="L43" i="15"/>
  <c r="D43" i="15"/>
  <c r="B43" i="15"/>
  <c r="Z42" i="15"/>
  <c r="X42" i="15"/>
  <c r="P42" i="15"/>
  <c r="N42" i="15"/>
  <c r="L42" i="15"/>
  <c r="D42" i="15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L40" i="15"/>
  <c r="D40" i="15"/>
  <c r="B40" i="15"/>
  <c r="Z39" i="15"/>
  <c r="X39" i="15"/>
  <c r="P39" i="15"/>
  <c r="N39" i="15"/>
  <c r="L39" i="15"/>
  <c r="D39" i="15"/>
  <c r="B39" i="15"/>
  <c r="Z38" i="15"/>
  <c r="P38" i="15"/>
  <c r="X38" i="15" s="1"/>
  <c r="N38" i="15"/>
  <c r="D38" i="15"/>
  <c r="L38" i="15" s="1"/>
  <c r="B38" i="15"/>
  <c r="Z37" i="15"/>
  <c r="X37" i="15"/>
  <c r="P37" i="15"/>
  <c r="N37" i="15"/>
  <c r="D37" i="15"/>
  <c r="L37" i="15" s="1"/>
  <c r="B37" i="15"/>
  <c r="Z36" i="15"/>
  <c r="P36" i="15"/>
  <c r="X36" i="15" s="1"/>
  <c r="N36" i="15"/>
  <c r="L36" i="15"/>
  <c r="D36" i="15"/>
  <c r="B36" i="15"/>
  <c r="Z35" i="15"/>
  <c r="P35" i="15"/>
  <c r="X35" i="15" s="1"/>
  <c r="N35" i="15"/>
  <c r="D35" i="15"/>
  <c r="L35" i="15" s="1"/>
  <c r="B35" i="15"/>
  <c r="X34" i="15"/>
  <c r="Z34" i="15" s="1"/>
  <c r="P34" i="15"/>
  <c r="L34" i="15"/>
  <c r="N34" i="15" s="1"/>
  <c r="D34" i="15"/>
  <c r="B34" i="15"/>
  <c r="Z33" i="15"/>
  <c r="X33" i="15"/>
  <c r="P33" i="15"/>
  <c r="N33" i="15"/>
  <c r="D33" i="15"/>
  <c r="L33" i="15" s="1"/>
  <c r="B33" i="15"/>
  <c r="Z32" i="15"/>
  <c r="P32" i="15"/>
  <c r="X32" i="15" s="1"/>
  <c r="N32" i="15"/>
  <c r="D32" i="15"/>
  <c r="L32" i="15" s="1"/>
  <c r="B32" i="15"/>
  <c r="Z31" i="15"/>
  <c r="X31" i="15"/>
  <c r="P31" i="15"/>
  <c r="N31" i="15"/>
  <c r="L31" i="15"/>
  <c r="D31" i="15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L28" i="15"/>
  <c r="D28" i="15"/>
  <c r="B28" i="15"/>
  <c r="Z27" i="15"/>
  <c r="X27" i="15"/>
  <c r="P27" i="15"/>
  <c r="N27" i="15"/>
  <c r="L27" i="15"/>
  <c r="D27" i="15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X21" i="15"/>
  <c r="P21" i="15"/>
  <c r="N21" i="15"/>
  <c r="D21" i="15"/>
  <c r="L21" i="15" s="1"/>
  <c r="B21" i="15"/>
  <c r="Z20" i="15"/>
  <c r="P20" i="15"/>
  <c r="X20" i="15" s="1"/>
  <c r="N20" i="15"/>
  <c r="D20" i="15"/>
  <c r="L20" i="15" s="1"/>
  <c r="B20" i="15"/>
  <c r="Z19" i="15"/>
  <c r="X19" i="15"/>
  <c r="P19" i="15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L15" i="15"/>
  <c r="D15" i="15"/>
  <c r="B15" i="15"/>
  <c r="Z14" i="15"/>
  <c r="P14" i="15"/>
  <c r="X14" i="15" s="1"/>
  <c r="N14" i="15"/>
  <c r="L14" i="15"/>
  <c r="D14" i="15"/>
  <c r="B14" i="15"/>
  <c r="X13" i="15"/>
  <c r="Z13" i="15" s="1"/>
  <c r="P13" i="15"/>
  <c r="D13" i="15"/>
  <c r="B13" i="15"/>
  <c r="T12" i="15"/>
  <c r="H12" i="15"/>
  <c r="J122" i="15" s="1"/>
  <c r="D4" i="15"/>
  <c r="X227" i="12"/>
  <c r="Z227" i="12" s="1"/>
  <c r="N227" i="12"/>
  <c r="L227" i="12"/>
  <c r="Z223" i="12"/>
  <c r="P223" i="12"/>
  <c r="X223" i="12" s="1"/>
  <c r="N223" i="12"/>
  <c r="D223" i="12"/>
  <c r="L223" i="12" s="1"/>
  <c r="B223" i="12"/>
  <c r="Z222" i="12"/>
  <c r="P222" i="12"/>
  <c r="X222" i="12" s="1"/>
  <c r="N222" i="12"/>
  <c r="D222" i="12"/>
  <c r="L222" i="12" s="1"/>
  <c r="B222" i="12"/>
  <c r="P221" i="12"/>
  <c r="L221" i="12"/>
  <c r="N221" i="12" s="1"/>
  <c r="J221" i="12"/>
  <c r="D221" i="12"/>
  <c r="B221" i="12"/>
  <c r="Z220" i="12"/>
  <c r="X220" i="12"/>
  <c r="P220" i="12"/>
  <c r="N220" i="12"/>
  <c r="L220" i="12"/>
  <c r="D220" i="12"/>
  <c r="B220" i="12"/>
  <c r="T219" i="12"/>
  <c r="H219" i="12"/>
  <c r="X217" i="12"/>
  <c r="Z217" i="12" s="1"/>
  <c r="L217" i="12"/>
  <c r="N217" i="12" s="1"/>
  <c r="B217" i="12"/>
  <c r="T216" i="12"/>
  <c r="P216" i="12"/>
  <c r="L216" i="12"/>
  <c r="N216" i="12" s="1"/>
  <c r="H216" i="12"/>
  <c r="D216" i="12"/>
  <c r="B216" i="12"/>
  <c r="X215" i="12"/>
  <c r="Z215" i="12" s="1"/>
  <c r="N215" i="12"/>
  <c r="L215" i="12"/>
  <c r="J215" i="12"/>
  <c r="B215" i="12"/>
  <c r="X214" i="12"/>
  <c r="Z214" i="12" s="1"/>
  <c r="N214" i="12"/>
  <c r="L214" i="12"/>
  <c r="B214" i="12"/>
  <c r="X213" i="12"/>
  <c r="Z213" i="12" s="1"/>
  <c r="N213" i="12"/>
  <c r="L213" i="12"/>
  <c r="B213" i="12"/>
  <c r="T212" i="12"/>
  <c r="P212" i="12"/>
  <c r="H212" i="12"/>
  <c r="N212" i="12" s="1"/>
  <c r="D212" i="12"/>
  <c r="L212" i="12" s="1"/>
  <c r="B212" i="12"/>
  <c r="Z211" i="12"/>
  <c r="X211" i="12"/>
  <c r="N211" i="12"/>
  <c r="L211" i="12"/>
  <c r="B211" i="12"/>
  <c r="T210" i="12"/>
  <c r="P210" i="12"/>
  <c r="X210" i="12" s="1"/>
  <c r="Z210" i="12" s="1"/>
  <c r="H210" i="12"/>
  <c r="D210" i="12"/>
  <c r="L210" i="12" s="1"/>
  <c r="N210" i="12" s="1"/>
  <c r="B210" i="12"/>
  <c r="Z209" i="12"/>
  <c r="X209" i="12"/>
  <c r="L209" i="12"/>
  <c r="N209" i="12" s="1"/>
  <c r="B209" i="12"/>
  <c r="X208" i="12"/>
  <c r="Z208" i="12" s="1"/>
  <c r="L208" i="12"/>
  <c r="N208" i="12" s="1"/>
  <c r="B208" i="12"/>
  <c r="T207" i="12"/>
  <c r="P207" i="12"/>
  <c r="X207" i="12" s="1"/>
  <c r="Z207" i="12" s="1"/>
  <c r="H207" i="12"/>
  <c r="D207" i="12"/>
  <c r="L207" i="12" s="1"/>
  <c r="N207" i="12" s="1"/>
  <c r="B207" i="12"/>
  <c r="X206" i="12"/>
  <c r="Z206" i="12" s="1"/>
  <c r="N206" i="12"/>
  <c r="L206" i="12"/>
  <c r="B206" i="12"/>
  <c r="X205" i="12"/>
  <c r="Z205" i="12" s="1"/>
  <c r="N205" i="12"/>
  <c r="L205" i="12"/>
  <c r="B205" i="12"/>
  <c r="X204" i="12"/>
  <c r="Z204" i="12" s="1"/>
  <c r="N204" i="12"/>
  <c r="L204" i="12"/>
  <c r="B204" i="12"/>
  <c r="Z203" i="12"/>
  <c r="X203" i="12"/>
  <c r="N203" i="12"/>
  <c r="L203" i="12"/>
  <c r="J203" i="12"/>
  <c r="B203" i="12"/>
  <c r="X202" i="12"/>
  <c r="Z202" i="12" s="1"/>
  <c r="N202" i="12"/>
  <c r="L202" i="12"/>
  <c r="B202" i="12"/>
  <c r="X201" i="12"/>
  <c r="Z201" i="12" s="1"/>
  <c r="N201" i="12"/>
  <c r="L201" i="12"/>
  <c r="B201" i="12"/>
  <c r="X200" i="12"/>
  <c r="Z200" i="12" s="1"/>
  <c r="N200" i="12"/>
  <c r="L200" i="12"/>
  <c r="B200" i="12"/>
  <c r="Z199" i="12"/>
  <c r="X199" i="12"/>
  <c r="N199" i="12"/>
  <c r="L199" i="12"/>
  <c r="J199" i="12"/>
  <c r="B199" i="12"/>
  <c r="X198" i="12"/>
  <c r="Z198" i="12" s="1"/>
  <c r="N198" i="12"/>
  <c r="L198" i="12"/>
  <c r="B198" i="12"/>
  <c r="X197" i="12"/>
  <c r="Z197" i="12" s="1"/>
  <c r="T197" i="12"/>
  <c r="P197" i="12"/>
  <c r="N197" i="12"/>
  <c r="L197" i="12"/>
  <c r="H197" i="12"/>
  <c r="D197" i="12"/>
  <c r="B197" i="12"/>
  <c r="Z196" i="12"/>
  <c r="X196" i="12"/>
  <c r="L196" i="12"/>
  <c r="N196" i="12" s="1"/>
  <c r="B196" i="12"/>
  <c r="Z195" i="12"/>
  <c r="X195" i="12"/>
  <c r="N195" i="12"/>
  <c r="L195" i="12"/>
  <c r="B195" i="12"/>
  <c r="T194" i="12"/>
  <c r="P194" i="12"/>
  <c r="X194" i="12" s="1"/>
  <c r="Z194" i="12" s="1"/>
  <c r="N194" i="12"/>
  <c r="H194" i="12"/>
  <c r="D194" i="12"/>
  <c r="L194" i="12" s="1"/>
  <c r="B194" i="12"/>
  <c r="Z193" i="12"/>
  <c r="X193" i="12"/>
  <c r="L193" i="12"/>
  <c r="N193" i="12" s="1"/>
  <c r="B193" i="12"/>
  <c r="X192" i="12"/>
  <c r="Z192" i="12" s="1"/>
  <c r="L192" i="12"/>
  <c r="N192" i="12" s="1"/>
  <c r="B192" i="12"/>
  <c r="Z191" i="12"/>
  <c r="X191" i="12"/>
  <c r="N191" i="12"/>
  <c r="L191" i="12"/>
  <c r="B191" i="12"/>
  <c r="Z190" i="12"/>
  <c r="X190" i="12"/>
  <c r="N190" i="12"/>
  <c r="L190" i="12"/>
  <c r="B190" i="12"/>
  <c r="Z189" i="12"/>
  <c r="X189" i="12"/>
  <c r="L189" i="12"/>
  <c r="N189" i="12" s="1"/>
  <c r="B189" i="12"/>
  <c r="X188" i="12"/>
  <c r="T188" i="12"/>
  <c r="Z188" i="12" s="1"/>
  <c r="P188" i="12"/>
  <c r="L188" i="12"/>
  <c r="J188" i="12"/>
  <c r="H188" i="12"/>
  <c r="N188" i="12" s="1"/>
  <c r="D188" i="12"/>
  <c r="B188" i="12"/>
  <c r="Z187" i="12"/>
  <c r="X187" i="12"/>
  <c r="N187" i="12"/>
  <c r="L187" i="12"/>
  <c r="J187" i="12"/>
  <c r="B187" i="12"/>
  <c r="X186" i="12"/>
  <c r="Z186" i="12" s="1"/>
  <c r="N186" i="12"/>
  <c r="L186" i="12"/>
  <c r="B186" i="12"/>
  <c r="X185" i="12"/>
  <c r="Z185" i="12" s="1"/>
  <c r="N185" i="12"/>
  <c r="L185" i="12"/>
  <c r="B185" i="12"/>
  <c r="X184" i="12"/>
  <c r="Z184" i="12" s="1"/>
  <c r="N184" i="12"/>
  <c r="L184" i="12"/>
  <c r="B184" i="12"/>
  <c r="Z183" i="12"/>
  <c r="X183" i="12"/>
  <c r="T183" i="12"/>
  <c r="P183" i="12"/>
  <c r="L183" i="12"/>
  <c r="N183" i="12" s="1"/>
  <c r="H183" i="12"/>
  <c r="D183" i="12"/>
  <c r="B183" i="12"/>
  <c r="Z182" i="12"/>
  <c r="X182" i="12"/>
  <c r="L182" i="12"/>
  <c r="N182" i="12" s="1"/>
  <c r="J182" i="12"/>
  <c r="B182" i="12"/>
  <c r="Z181" i="12"/>
  <c r="X181" i="12"/>
  <c r="N181" i="12"/>
  <c r="L181" i="12"/>
  <c r="B181" i="12"/>
  <c r="Z180" i="12"/>
  <c r="X180" i="12"/>
  <c r="N180" i="12"/>
  <c r="L180" i="12"/>
  <c r="B180" i="12"/>
  <c r="Z179" i="12"/>
  <c r="X179" i="12"/>
  <c r="N179" i="12"/>
  <c r="L179" i="12"/>
  <c r="B179" i="12"/>
  <c r="T178" i="12"/>
  <c r="P178" i="12"/>
  <c r="X178" i="12" s="1"/>
  <c r="Z178" i="12" s="1"/>
  <c r="N178" i="12"/>
  <c r="H178" i="12"/>
  <c r="D178" i="12"/>
  <c r="L178" i="12" s="1"/>
  <c r="B178" i="12"/>
  <c r="Z177" i="12"/>
  <c r="X177" i="12"/>
  <c r="L177" i="12"/>
  <c r="N177" i="12" s="1"/>
  <c r="B177" i="12"/>
  <c r="X176" i="12"/>
  <c r="T176" i="12"/>
  <c r="Z176" i="12" s="1"/>
  <c r="P176" i="12"/>
  <c r="L176" i="12"/>
  <c r="J176" i="12"/>
  <c r="H176" i="12"/>
  <c r="N176" i="12" s="1"/>
  <c r="D176" i="12"/>
  <c r="B176" i="12"/>
  <c r="Z175" i="12"/>
  <c r="X175" i="12"/>
  <c r="N175" i="12"/>
  <c r="L175" i="12"/>
  <c r="J175" i="12"/>
  <c r="B175" i="12"/>
  <c r="T174" i="12"/>
  <c r="P174" i="12"/>
  <c r="H174" i="12"/>
  <c r="N174" i="12" s="1"/>
  <c r="D174" i="12"/>
  <c r="L174" i="12" s="1"/>
  <c r="B174" i="12"/>
  <c r="Z173" i="12"/>
  <c r="X173" i="12"/>
  <c r="N173" i="12"/>
  <c r="L173" i="12"/>
  <c r="B173" i="12"/>
  <c r="T172" i="12"/>
  <c r="P172" i="12"/>
  <c r="X172" i="12" s="1"/>
  <c r="Z172" i="12" s="1"/>
  <c r="H172" i="12"/>
  <c r="D172" i="12"/>
  <c r="L172" i="12" s="1"/>
  <c r="N172" i="12" s="1"/>
  <c r="B172" i="12"/>
  <c r="Z171" i="12"/>
  <c r="X171" i="12"/>
  <c r="N171" i="12"/>
  <c r="L171" i="12"/>
  <c r="B171" i="12"/>
  <c r="X170" i="12"/>
  <c r="T170" i="12"/>
  <c r="Z170" i="12" s="1"/>
  <c r="P170" i="12"/>
  <c r="L170" i="12"/>
  <c r="H170" i="12"/>
  <c r="N170" i="12" s="1"/>
  <c r="D170" i="12"/>
  <c r="B170" i="12"/>
  <c r="X169" i="12"/>
  <c r="Z169" i="12" s="1"/>
  <c r="N169" i="12"/>
  <c r="L169" i="12"/>
  <c r="B169" i="12"/>
  <c r="T168" i="12"/>
  <c r="Z168" i="12" s="1"/>
  <c r="P168" i="12"/>
  <c r="X168" i="12" s="1"/>
  <c r="H168" i="12"/>
  <c r="D168" i="12"/>
  <c r="B168" i="12"/>
  <c r="Z167" i="12"/>
  <c r="X167" i="12"/>
  <c r="N167" i="12"/>
  <c r="L167" i="12"/>
  <c r="B167" i="12"/>
  <c r="Z166" i="12"/>
  <c r="X166" i="12"/>
  <c r="N166" i="12"/>
  <c r="L166" i="12"/>
  <c r="J166" i="12"/>
  <c r="B166" i="12"/>
  <c r="Z165" i="12"/>
  <c r="X165" i="12"/>
  <c r="N165" i="12"/>
  <c r="L165" i="12"/>
  <c r="B165" i="12"/>
  <c r="Z164" i="12"/>
  <c r="T164" i="12"/>
  <c r="P164" i="12"/>
  <c r="X164" i="12" s="1"/>
  <c r="H164" i="12"/>
  <c r="D164" i="12"/>
  <c r="L164" i="12" s="1"/>
  <c r="N164" i="12" s="1"/>
  <c r="B164" i="12"/>
  <c r="Z163" i="12"/>
  <c r="X163" i="12"/>
  <c r="N163" i="12"/>
  <c r="L163" i="12"/>
  <c r="B163" i="12"/>
  <c r="X162" i="12"/>
  <c r="Z162" i="12" s="1"/>
  <c r="L162" i="12"/>
  <c r="N162" i="12" s="1"/>
  <c r="B162" i="12"/>
  <c r="T161" i="12"/>
  <c r="P161" i="12"/>
  <c r="X161" i="12" s="1"/>
  <c r="Z161" i="12" s="1"/>
  <c r="H161" i="12"/>
  <c r="D161" i="12"/>
  <c r="L161" i="12" s="1"/>
  <c r="N161" i="12" s="1"/>
  <c r="B161" i="12"/>
  <c r="X160" i="12"/>
  <c r="Z160" i="12" s="1"/>
  <c r="N160" i="12"/>
  <c r="L160" i="12"/>
  <c r="B160" i="12"/>
  <c r="Z159" i="12"/>
  <c r="X159" i="12"/>
  <c r="T159" i="12"/>
  <c r="P159" i="12"/>
  <c r="L159" i="12"/>
  <c r="N159" i="12" s="1"/>
  <c r="H159" i="12"/>
  <c r="D159" i="12"/>
  <c r="B159" i="12"/>
  <c r="Z158" i="12"/>
  <c r="X158" i="12"/>
  <c r="L158" i="12"/>
  <c r="N158" i="12" s="1"/>
  <c r="J158" i="12"/>
  <c r="B158" i="12"/>
  <c r="T157" i="12"/>
  <c r="P157" i="12"/>
  <c r="H157" i="12"/>
  <c r="D157" i="12"/>
  <c r="L157" i="12" s="1"/>
  <c r="B157" i="12"/>
  <c r="X156" i="12"/>
  <c r="Z156" i="12" s="1"/>
  <c r="L156" i="12"/>
  <c r="N156" i="12" s="1"/>
  <c r="B156" i="12"/>
  <c r="Z155" i="12"/>
  <c r="X155" i="12"/>
  <c r="N155" i="12"/>
  <c r="L155" i="12"/>
  <c r="B155" i="12"/>
  <c r="X154" i="12"/>
  <c r="T154" i="12"/>
  <c r="Z154" i="12" s="1"/>
  <c r="P154" i="12"/>
  <c r="L154" i="12"/>
  <c r="H154" i="12"/>
  <c r="N154" i="12" s="1"/>
  <c r="D154" i="12"/>
  <c r="B154" i="12"/>
  <c r="Z153" i="12"/>
  <c r="X153" i="12"/>
  <c r="N153" i="12"/>
  <c r="L153" i="12"/>
  <c r="B153" i="12"/>
  <c r="X152" i="12"/>
  <c r="Z152" i="12" s="1"/>
  <c r="N152" i="12"/>
  <c r="L152" i="12"/>
  <c r="B152" i="12"/>
  <c r="Z151" i="12"/>
  <c r="X151" i="12"/>
  <c r="T151" i="12"/>
  <c r="P151" i="12"/>
  <c r="L151" i="12"/>
  <c r="N151" i="12" s="1"/>
  <c r="H151" i="12"/>
  <c r="D151" i="12"/>
  <c r="B151" i="12"/>
  <c r="Z150" i="12"/>
  <c r="X150" i="12"/>
  <c r="L150" i="12"/>
  <c r="N150" i="12" s="1"/>
  <c r="J150" i="12"/>
  <c r="B150" i="12"/>
  <c r="Z149" i="12"/>
  <c r="X149" i="12"/>
  <c r="N149" i="12"/>
  <c r="L149" i="12"/>
  <c r="B149" i="12"/>
  <c r="Z148" i="12"/>
  <c r="T148" i="12"/>
  <c r="P148" i="12"/>
  <c r="X148" i="12" s="1"/>
  <c r="H148" i="12"/>
  <c r="D148" i="12"/>
  <c r="L148" i="12" s="1"/>
  <c r="N148" i="12" s="1"/>
  <c r="B148" i="12"/>
  <c r="Z147" i="12"/>
  <c r="X147" i="12"/>
  <c r="N147" i="12"/>
  <c r="L147" i="12"/>
  <c r="B147" i="12"/>
  <c r="X146" i="12"/>
  <c r="T146" i="12"/>
  <c r="Z146" i="12" s="1"/>
  <c r="P146" i="12"/>
  <c r="L146" i="12"/>
  <c r="H146" i="12"/>
  <c r="N146" i="12" s="1"/>
  <c r="D146" i="12"/>
  <c r="B146" i="12"/>
  <c r="X145" i="12"/>
  <c r="Z145" i="12" s="1"/>
  <c r="N145" i="12"/>
  <c r="L145" i="12"/>
  <c r="B145" i="12"/>
  <c r="X144" i="12"/>
  <c r="Z144" i="12" s="1"/>
  <c r="N144" i="12"/>
  <c r="L144" i="12"/>
  <c r="B144" i="12"/>
  <c r="Z143" i="12"/>
  <c r="X143" i="12"/>
  <c r="T143" i="12"/>
  <c r="P143" i="12"/>
  <c r="L143" i="12"/>
  <c r="N143" i="12" s="1"/>
  <c r="H143" i="12"/>
  <c r="D143" i="12"/>
  <c r="B143" i="12"/>
  <c r="Z142" i="12"/>
  <c r="X142" i="12"/>
  <c r="L142" i="12"/>
  <c r="N142" i="12" s="1"/>
  <c r="J142" i="12"/>
  <c r="B142" i="12"/>
  <c r="T141" i="12"/>
  <c r="P141" i="12"/>
  <c r="H141" i="12"/>
  <c r="D141" i="12"/>
  <c r="L141" i="12" s="1"/>
  <c r="B141" i="12"/>
  <c r="Z140" i="12"/>
  <c r="X140" i="12"/>
  <c r="N140" i="12"/>
  <c r="L140" i="12"/>
  <c r="B140" i="12"/>
  <c r="Z139" i="12"/>
  <c r="X139" i="12"/>
  <c r="N139" i="12"/>
  <c r="L139" i="12"/>
  <c r="B139" i="12"/>
  <c r="X138" i="12"/>
  <c r="Z138" i="12" s="1"/>
  <c r="L138" i="12"/>
  <c r="N138" i="12" s="1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B135" i="12"/>
  <c r="X134" i="12"/>
  <c r="Z134" i="12" s="1"/>
  <c r="L134" i="12"/>
  <c r="N134" i="12" s="1"/>
  <c r="B134" i="12"/>
  <c r="Z133" i="12"/>
  <c r="X133" i="12"/>
  <c r="N133" i="12"/>
  <c r="L133" i="12"/>
  <c r="B133" i="12"/>
  <c r="X132" i="12"/>
  <c r="Z132" i="12" s="1"/>
  <c r="L132" i="12"/>
  <c r="N132" i="12" s="1"/>
  <c r="B132" i="12"/>
  <c r="Z131" i="12"/>
  <c r="X131" i="12"/>
  <c r="N131" i="12"/>
  <c r="L131" i="12"/>
  <c r="B131" i="12"/>
  <c r="X130" i="12"/>
  <c r="T130" i="12"/>
  <c r="Z130" i="12" s="1"/>
  <c r="P130" i="12"/>
  <c r="L130" i="12"/>
  <c r="H130" i="12"/>
  <c r="N130" i="12" s="1"/>
  <c r="D130" i="12"/>
  <c r="B130" i="12"/>
  <c r="X129" i="12"/>
  <c r="Z129" i="12" s="1"/>
  <c r="N129" i="12"/>
  <c r="L129" i="12"/>
  <c r="B129" i="12"/>
  <c r="X128" i="12"/>
  <c r="Z128" i="12" s="1"/>
  <c r="N128" i="12"/>
  <c r="L128" i="12"/>
  <c r="B128" i="12"/>
  <c r="Z127" i="12"/>
  <c r="X127" i="12"/>
  <c r="N127" i="12"/>
  <c r="L127" i="12"/>
  <c r="J127" i="12"/>
  <c r="B127" i="12"/>
  <c r="Z126" i="12"/>
  <c r="X126" i="12"/>
  <c r="N126" i="12"/>
  <c r="L126" i="12"/>
  <c r="B126" i="12"/>
  <c r="Z125" i="12"/>
  <c r="X125" i="12"/>
  <c r="N125" i="12"/>
  <c r="L125" i="12"/>
  <c r="B125" i="12"/>
  <c r="X124" i="12"/>
  <c r="Z124" i="12" s="1"/>
  <c r="N124" i="12"/>
  <c r="L124" i="12"/>
  <c r="B124" i="12"/>
  <c r="Z123" i="12"/>
  <c r="X123" i="12"/>
  <c r="N123" i="12"/>
  <c r="L123" i="12"/>
  <c r="J123" i="12"/>
  <c r="B123" i="12"/>
  <c r="X122" i="12"/>
  <c r="Z122" i="12" s="1"/>
  <c r="N122" i="12"/>
  <c r="L122" i="12"/>
  <c r="B122" i="12"/>
  <c r="X121" i="12"/>
  <c r="Z121" i="12" s="1"/>
  <c r="N121" i="12"/>
  <c r="L121" i="12"/>
  <c r="B121" i="12"/>
  <c r="X120" i="12"/>
  <c r="Z120" i="12" s="1"/>
  <c r="N120" i="12"/>
  <c r="L120" i="12"/>
  <c r="B120" i="12"/>
  <c r="Z119" i="12"/>
  <c r="X119" i="12"/>
  <c r="T119" i="12"/>
  <c r="P119" i="12"/>
  <c r="L119" i="12"/>
  <c r="N119" i="12" s="1"/>
  <c r="H119" i="12"/>
  <c r="D119" i="12"/>
  <c r="B119" i="12"/>
  <c r="T118" i="12"/>
  <c r="P118" i="12"/>
  <c r="X118" i="12" s="1"/>
  <c r="H118" i="12"/>
  <c r="D118" i="12"/>
  <c r="Z114" i="12"/>
  <c r="X114" i="12"/>
  <c r="N114" i="12"/>
  <c r="L114" i="12"/>
  <c r="J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J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J106" i="12"/>
  <c r="B106" i="12"/>
  <c r="Z105" i="12"/>
  <c r="X105" i="12"/>
  <c r="N105" i="12"/>
  <c r="L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J102" i="12"/>
  <c r="B102" i="12"/>
  <c r="Z101" i="12"/>
  <c r="X101" i="12"/>
  <c r="N101" i="12"/>
  <c r="L101" i="12"/>
  <c r="B101" i="12"/>
  <c r="Z100" i="12"/>
  <c r="X100" i="12"/>
  <c r="N100" i="12"/>
  <c r="L100" i="12"/>
  <c r="B100" i="12"/>
  <c r="Z99" i="12"/>
  <c r="X99" i="12"/>
  <c r="N99" i="12"/>
  <c r="L99" i="12"/>
  <c r="B99" i="12"/>
  <c r="Z98" i="12"/>
  <c r="X98" i="12"/>
  <c r="N98" i="12"/>
  <c r="L98" i="12"/>
  <c r="J98" i="12"/>
  <c r="B98" i="12"/>
  <c r="Z97" i="12"/>
  <c r="X97" i="12"/>
  <c r="N97" i="12"/>
  <c r="L97" i="12"/>
  <c r="B97" i="12"/>
  <c r="Z96" i="12"/>
  <c r="X96" i="12"/>
  <c r="N96" i="12"/>
  <c r="L96" i="12"/>
  <c r="B96" i="12"/>
  <c r="Z95" i="12"/>
  <c r="X95" i="12"/>
  <c r="N95" i="12"/>
  <c r="L95" i="12"/>
  <c r="B95" i="12"/>
  <c r="Z94" i="12"/>
  <c r="X94" i="12"/>
  <c r="N94" i="12"/>
  <c r="L94" i="12"/>
  <c r="J94" i="12"/>
  <c r="B94" i="12"/>
  <c r="Z93" i="12"/>
  <c r="X93" i="12"/>
  <c r="N93" i="12"/>
  <c r="L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J90" i="12"/>
  <c r="B90" i="12"/>
  <c r="Z89" i="12"/>
  <c r="X89" i="12"/>
  <c r="N89" i="12"/>
  <c r="L89" i="12"/>
  <c r="B89" i="12"/>
  <c r="Z88" i="12"/>
  <c r="X88" i="12"/>
  <c r="N88" i="12"/>
  <c r="L88" i="12"/>
  <c r="B88" i="12"/>
  <c r="Z87" i="12"/>
  <c r="X87" i="12"/>
  <c r="N87" i="12"/>
  <c r="L87" i="12"/>
  <c r="B87" i="12"/>
  <c r="Z86" i="12"/>
  <c r="X86" i="12"/>
  <c r="N86" i="12"/>
  <c r="L86" i="12"/>
  <c r="J86" i="12"/>
  <c r="B86" i="12"/>
  <c r="Z85" i="12"/>
  <c r="X85" i="12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Z82" i="12"/>
  <c r="X82" i="12"/>
  <c r="N82" i="12"/>
  <c r="L82" i="12"/>
  <c r="J82" i="12"/>
  <c r="B82" i="12"/>
  <c r="Z81" i="12"/>
  <c r="X81" i="12"/>
  <c r="N81" i="12"/>
  <c r="L81" i="12"/>
  <c r="J81" i="12"/>
  <c r="B81" i="12"/>
  <c r="Z80" i="12"/>
  <c r="X80" i="12"/>
  <c r="N80" i="12"/>
  <c r="L80" i="12"/>
  <c r="B80" i="12"/>
  <c r="Z79" i="12"/>
  <c r="X79" i="12"/>
  <c r="N79" i="12"/>
  <c r="L79" i="12"/>
  <c r="B79" i="12"/>
  <c r="T78" i="12"/>
  <c r="Z78" i="12" s="1"/>
  <c r="P78" i="12"/>
  <c r="X78" i="12" s="1"/>
  <c r="N78" i="12"/>
  <c r="H78" i="12"/>
  <c r="D78" i="12"/>
  <c r="L78" i="12" s="1"/>
  <c r="Z76" i="12"/>
  <c r="X76" i="12"/>
  <c r="P76" i="12"/>
  <c r="N76" i="12"/>
  <c r="D76" i="12"/>
  <c r="L76" i="12" s="1"/>
  <c r="B76" i="12"/>
  <c r="Z75" i="12"/>
  <c r="P75" i="12"/>
  <c r="X75" i="12" s="1"/>
  <c r="N75" i="12"/>
  <c r="L75" i="12"/>
  <c r="D75" i="12"/>
  <c r="B75" i="12"/>
  <c r="Z74" i="12"/>
  <c r="X74" i="12"/>
  <c r="P74" i="12"/>
  <c r="N74" i="12"/>
  <c r="L74" i="12"/>
  <c r="D74" i="12"/>
  <c r="B74" i="12"/>
  <c r="Z73" i="12"/>
  <c r="P73" i="12"/>
  <c r="X73" i="12" s="1"/>
  <c r="N73" i="12"/>
  <c r="L73" i="12"/>
  <c r="D73" i="12"/>
  <c r="B73" i="12"/>
  <c r="Z72" i="12"/>
  <c r="P72" i="12"/>
  <c r="X72" i="12" s="1"/>
  <c r="N72" i="12"/>
  <c r="D72" i="12"/>
  <c r="L72" i="12" s="1"/>
  <c r="B72" i="12"/>
  <c r="Z71" i="12"/>
  <c r="X71" i="12"/>
  <c r="P71" i="12"/>
  <c r="N71" i="12"/>
  <c r="L71" i="12"/>
  <c r="D71" i="12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P67" i="12"/>
  <c r="X67" i="12" s="1"/>
  <c r="N67" i="12"/>
  <c r="L67" i="12"/>
  <c r="D67" i="12"/>
  <c r="B67" i="12"/>
  <c r="Z66" i="12"/>
  <c r="X66" i="12"/>
  <c r="P66" i="12"/>
  <c r="N66" i="12"/>
  <c r="D66" i="12"/>
  <c r="L66" i="12" s="1"/>
  <c r="B66" i="12"/>
  <c r="Z65" i="12"/>
  <c r="X65" i="12"/>
  <c r="P65" i="12"/>
  <c r="N65" i="12"/>
  <c r="L65" i="12"/>
  <c r="D65" i="12"/>
  <c r="B65" i="12"/>
  <c r="Z64" i="12"/>
  <c r="X64" i="12"/>
  <c r="P64" i="12"/>
  <c r="N64" i="12"/>
  <c r="D64" i="12"/>
  <c r="L64" i="12" s="1"/>
  <c r="B64" i="12"/>
  <c r="Z63" i="12"/>
  <c r="P63" i="12"/>
  <c r="X63" i="12" s="1"/>
  <c r="N63" i="12"/>
  <c r="L63" i="12"/>
  <c r="D63" i="12"/>
  <c r="B63" i="12"/>
  <c r="Z62" i="12"/>
  <c r="X62" i="12"/>
  <c r="P62" i="12"/>
  <c r="N62" i="12"/>
  <c r="L62" i="12"/>
  <c r="D62" i="12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D60" i="12"/>
  <c r="L60" i="12" s="1"/>
  <c r="B60" i="12"/>
  <c r="Z59" i="12"/>
  <c r="X59" i="12"/>
  <c r="P59" i="12"/>
  <c r="N59" i="12"/>
  <c r="L59" i="12"/>
  <c r="D59" i="12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X52" i="12"/>
  <c r="P52" i="12"/>
  <c r="N52" i="12"/>
  <c r="D52" i="12"/>
  <c r="L52" i="12" s="1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L50" i="12"/>
  <c r="D50" i="12"/>
  <c r="B50" i="12"/>
  <c r="Z49" i="12"/>
  <c r="P49" i="12"/>
  <c r="X49" i="12" s="1"/>
  <c r="N49" i="12"/>
  <c r="L49" i="12"/>
  <c r="D49" i="12"/>
  <c r="B49" i="12"/>
  <c r="Z48" i="12"/>
  <c r="P48" i="12"/>
  <c r="X48" i="12" s="1"/>
  <c r="N48" i="12"/>
  <c r="D48" i="12"/>
  <c r="L48" i="12" s="1"/>
  <c r="B48" i="12"/>
  <c r="Z47" i="12"/>
  <c r="X47" i="12"/>
  <c r="P47" i="12"/>
  <c r="N47" i="12"/>
  <c r="L47" i="12"/>
  <c r="D47" i="12"/>
  <c r="B47" i="12"/>
  <c r="Z46" i="12"/>
  <c r="X46" i="12"/>
  <c r="P46" i="12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L41" i="12"/>
  <c r="D41" i="12"/>
  <c r="B41" i="12"/>
  <c r="Z40" i="12"/>
  <c r="X40" i="12"/>
  <c r="P40" i="12"/>
  <c r="N40" i="12"/>
  <c r="D40" i="12"/>
  <c r="L40" i="12" s="1"/>
  <c r="B40" i="12"/>
  <c r="Z39" i="12"/>
  <c r="P39" i="12"/>
  <c r="X39" i="12" s="1"/>
  <c r="N39" i="12"/>
  <c r="L39" i="12"/>
  <c r="D39" i="12"/>
  <c r="B39" i="12"/>
  <c r="Z38" i="12"/>
  <c r="X38" i="12"/>
  <c r="P38" i="12"/>
  <c r="N38" i="12"/>
  <c r="L38" i="12"/>
  <c r="D38" i="12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D36" i="12"/>
  <c r="L36" i="12" s="1"/>
  <c r="B36" i="12"/>
  <c r="Z35" i="12"/>
  <c r="X35" i="12"/>
  <c r="P35" i="12"/>
  <c r="L35" i="12"/>
  <c r="N35" i="12" s="1"/>
  <c r="D35" i="12"/>
  <c r="B35" i="12"/>
  <c r="Z34" i="12"/>
  <c r="X34" i="12"/>
  <c r="P34" i="12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P31" i="12"/>
  <c r="X31" i="12" s="1"/>
  <c r="N31" i="12"/>
  <c r="L31" i="12"/>
  <c r="D31" i="12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L29" i="12"/>
  <c r="D29" i="12"/>
  <c r="B29" i="12"/>
  <c r="Z28" i="12"/>
  <c r="X28" i="12"/>
  <c r="P28" i="12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L26" i="12"/>
  <c r="D26" i="12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D24" i="12"/>
  <c r="L24" i="12" s="1"/>
  <c r="B24" i="12"/>
  <c r="Z23" i="12"/>
  <c r="X23" i="12"/>
  <c r="P23" i="12"/>
  <c r="N23" i="12"/>
  <c r="L23" i="12"/>
  <c r="D23" i="12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X16" i="12"/>
  <c r="P16" i="12"/>
  <c r="N16" i="12"/>
  <c r="D16" i="12"/>
  <c r="B16" i="12"/>
  <c r="Z15" i="12"/>
  <c r="P15" i="12"/>
  <c r="X15" i="12" s="1"/>
  <c r="N15" i="12"/>
  <c r="L15" i="12"/>
  <c r="D15" i="12"/>
  <c r="B15" i="12"/>
  <c r="Z14" i="12"/>
  <c r="X14" i="12"/>
  <c r="P14" i="12"/>
  <c r="N14" i="12"/>
  <c r="L14" i="12"/>
  <c r="D14" i="12"/>
  <c r="B14" i="12"/>
  <c r="P13" i="12"/>
  <c r="X13" i="12" s="1"/>
  <c r="Z13" i="12" s="1"/>
  <c r="N13" i="12"/>
  <c r="L13" i="12"/>
  <c r="D13" i="12"/>
  <c r="B13" i="12"/>
  <c r="T12" i="12"/>
  <c r="V134" i="12" s="1"/>
  <c r="H12" i="12"/>
  <c r="J213" i="12" s="1"/>
  <c r="D4" i="12"/>
  <c r="V109" i="9"/>
  <c r="V106" i="9"/>
  <c r="Z104" i="9"/>
  <c r="X104" i="9"/>
  <c r="V104" i="9"/>
  <c r="N104" i="9"/>
  <c r="L104" i="9"/>
  <c r="Z100" i="9"/>
  <c r="P100" i="9"/>
  <c r="X100" i="9" s="1"/>
  <c r="N100" i="9"/>
  <c r="L100" i="9"/>
  <c r="D100" i="9"/>
  <c r="B100" i="9"/>
  <c r="Z99" i="9"/>
  <c r="X99" i="9"/>
  <c r="P99" i="9"/>
  <c r="N99" i="9"/>
  <c r="D99" i="9"/>
  <c r="L99" i="9" s="1"/>
  <c r="B99" i="9"/>
  <c r="Z98" i="9"/>
  <c r="P98" i="9"/>
  <c r="X98" i="9" s="1"/>
  <c r="N98" i="9"/>
  <c r="D98" i="9"/>
  <c r="B98" i="9"/>
  <c r="T97" i="9"/>
  <c r="Z97" i="9" s="1"/>
  <c r="H97" i="9"/>
  <c r="N97" i="9" s="1"/>
  <c r="X95" i="9"/>
  <c r="Z95" i="9" s="1"/>
  <c r="N95" i="9"/>
  <c r="L95" i="9"/>
  <c r="B95" i="9"/>
  <c r="X94" i="9"/>
  <c r="Z94" i="9" s="1"/>
  <c r="N94" i="9"/>
  <c r="L94" i="9"/>
  <c r="B94" i="9"/>
  <c r="T93" i="9"/>
  <c r="P93" i="9"/>
  <c r="H93" i="9"/>
  <c r="D93" i="9"/>
  <c r="L93" i="9" s="1"/>
  <c r="B93" i="9"/>
  <c r="Z92" i="9"/>
  <c r="X92" i="9"/>
  <c r="V92" i="9"/>
  <c r="R92" i="9"/>
  <c r="N92" i="9"/>
  <c r="L92" i="9"/>
  <c r="B92" i="9"/>
  <c r="T91" i="9"/>
  <c r="Z91" i="9" s="1"/>
  <c r="P91" i="9"/>
  <c r="X91" i="9" s="1"/>
  <c r="H91" i="9"/>
  <c r="D91" i="9"/>
  <c r="L91" i="9" s="1"/>
  <c r="N91" i="9" s="1"/>
  <c r="B91" i="9"/>
  <c r="Z90" i="9"/>
  <c r="X90" i="9"/>
  <c r="L90" i="9"/>
  <c r="N90" i="9" s="1"/>
  <c r="B90" i="9"/>
  <c r="X89" i="9"/>
  <c r="Z89" i="9" s="1"/>
  <c r="L89" i="9"/>
  <c r="N89" i="9" s="1"/>
  <c r="B89" i="9"/>
  <c r="T88" i="9"/>
  <c r="P88" i="9"/>
  <c r="X88" i="9" s="1"/>
  <c r="Z88" i="9" s="1"/>
  <c r="H88" i="9"/>
  <c r="D88" i="9"/>
  <c r="L88" i="9" s="1"/>
  <c r="N88" i="9" s="1"/>
  <c r="B88" i="9"/>
  <c r="X87" i="9"/>
  <c r="Z87" i="9" s="1"/>
  <c r="N87" i="9"/>
  <c r="L87" i="9"/>
  <c r="B87" i="9"/>
  <c r="X86" i="9"/>
  <c r="Z86" i="9" s="1"/>
  <c r="N86" i="9"/>
  <c r="L86" i="9"/>
  <c r="B86" i="9"/>
  <c r="X85" i="9"/>
  <c r="Z85" i="9" s="1"/>
  <c r="N85" i="9"/>
  <c r="L85" i="9"/>
  <c r="B85" i="9"/>
  <c r="Z84" i="9"/>
  <c r="X84" i="9"/>
  <c r="N84" i="9"/>
  <c r="L84" i="9"/>
  <c r="F84" i="9"/>
  <c r="B84" i="9"/>
  <c r="X83" i="9"/>
  <c r="Z83" i="9" s="1"/>
  <c r="N83" i="9"/>
  <c r="L83" i="9"/>
  <c r="B83" i="9"/>
  <c r="X82" i="9"/>
  <c r="Z82" i="9" s="1"/>
  <c r="T82" i="9"/>
  <c r="P82" i="9"/>
  <c r="N82" i="9"/>
  <c r="L82" i="9"/>
  <c r="H82" i="9"/>
  <c r="D82" i="9"/>
  <c r="B82" i="9"/>
  <c r="Z81" i="9"/>
  <c r="X81" i="9"/>
  <c r="L81" i="9"/>
  <c r="N81" i="9" s="1"/>
  <c r="B81" i="9"/>
  <c r="Z80" i="9"/>
  <c r="X80" i="9"/>
  <c r="V80" i="9"/>
  <c r="R80" i="9"/>
  <c r="N80" i="9"/>
  <c r="L80" i="9"/>
  <c r="B80" i="9"/>
  <c r="T79" i="9"/>
  <c r="P79" i="9"/>
  <c r="X79" i="9" s="1"/>
  <c r="H79" i="9"/>
  <c r="D79" i="9"/>
  <c r="L79" i="9" s="1"/>
  <c r="N79" i="9" s="1"/>
  <c r="B79" i="9"/>
  <c r="Z78" i="9"/>
  <c r="X78" i="9"/>
  <c r="L78" i="9"/>
  <c r="N78" i="9" s="1"/>
  <c r="B78" i="9"/>
  <c r="X77" i="9"/>
  <c r="Z77" i="9" s="1"/>
  <c r="L77" i="9"/>
  <c r="N77" i="9" s="1"/>
  <c r="B77" i="9"/>
  <c r="T76" i="9"/>
  <c r="P76" i="9"/>
  <c r="X76" i="9" s="1"/>
  <c r="Z76" i="9" s="1"/>
  <c r="H76" i="9"/>
  <c r="D76" i="9"/>
  <c r="L76" i="9" s="1"/>
  <c r="N76" i="9" s="1"/>
  <c r="B76" i="9"/>
  <c r="Z75" i="9"/>
  <c r="X75" i="9"/>
  <c r="N75" i="9"/>
  <c r="L75" i="9"/>
  <c r="B75" i="9"/>
  <c r="X74" i="9"/>
  <c r="Z74" i="9" s="1"/>
  <c r="N74" i="9"/>
  <c r="L74" i="9"/>
  <c r="B74" i="9"/>
  <c r="X73" i="9"/>
  <c r="Z73" i="9" s="1"/>
  <c r="N73" i="9"/>
  <c r="L73" i="9"/>
  <c r="B73" i="9"/>
  <c r="Z72" i="9"/>
  <c r="X72" i="9"/>
  <c r="N72" i="9"/>
  <c r="L72" i="9"/>
  <c r="F72" i="9"/>
  <c r="B72" i="9"/>
  <c r="T71" i="9"/>
  <c r="Z71" i="9" s="1"/>
  <c r="P71" i="9"/>
  <c r="X71" i="9" s="1"/>
  <c r="H71" i="9"/>
  <c r="F71" i="9"/>
  <c r="D71" i="9"/>
  <c r="B71" i="9"/>
  <c r="Z70" i="9"/>
  <c r="X70" i="9"/>
  <c r="N70" i="9"/>
  <c r="L70" i="9"/>
  <c r="B70" i="9"/>
  <c r="Z69" i="9"/>
  <c r="X69" i="9"/>
  <c r="L69" i="9"/>
  <c r="N69" i="9" s="1"/>
  <c r="B69" i="9"/>
  <c r="Z68" i="9"/>
  <c r="X68" i="9"/>
  <c r="V68" i="9"/>
  <c r="N68" i="9"/>
  <c r="L68" i="9"/>
  <c r="B68" i="9"/>
  <c r="Z67" i="9"/>
  <c r="X67" i="9"/>
  <c r="L67" i="9"/>
  <c r="N67" i="9" s="1"/>
  <c r="B67" i="9"/>
  <c r="T66" i="9"/>
  <c r="Z66" i="9" s="1"/>
  <c r="P66" i="9"/>
  <c r="X66" i="9" s="1"/>
  <c r="H66" i="9"/>
  <c r="D66" i="9"/>
  <c r="B66" i="9"/>
  <c r="X65" i="9"/>
  <c r="Z65" i="9" s="1"/>
  <c r="L65" i="9"/>
  <c r="N65" i="9" s="1"/>
  <c r="B65" i="9"/>
  <c r="Z64" i="9"/>
  <c r="X64" i="9"/>
  <c r="N64" i="9"/>
  <c r="L64" i="9"/>
  <c r="B64" i="9"/>
  <c r="X63" i="9"/>
  <c r="V63" i="9"/>
  <c r="T63" i="9"/>
  <c r="Z63" i="9" s="1"/>
  <c r="P63" i="9"/>
  <c r="L63" i="9"/>
  <c r="H63" i="9"/>
  <c r="N63" i="9" s="1"/>
  <c r="D63" i="9"/>
  <c r="B63" i="9"/>
  <c r="X62" i="9"/>
  <c r="Z62" i="9" s="1"/>
  <c r="N62" i="9"/>
  <c r="L62" i="9"/>
  <c r="B62" i="9"/>
  <c r="T61" i="9"/>
  <c r="R61" i="9"/>
  <c r="P61" i="9"/>
  <c r="H61" i="9"/>
  <c r="D61" i="9"/>
  <c r="L61" i="9" s="1"/>
  <c r="B61" i="9"/>
  <c r="Z60" i="9"/>
  <c r="X60" i="9"/>
  <c r="V60" i="9"/>
  <c r="N60" i="9"/>
  <c r="L60" i="9"/>
  <c r="B60" i="9"/>
  <c r="Z59" i="9"/>
  <c r="X59" i="9"/>
  <c r="N59" i="9"/>
  <c r="L59" i="9"/>
  <c r="B59" i="9"/>
  <c r="V58" i="9"/>
  <c r="T58" i="9"/>
  <c r="Z58" i="9" s="1"/>
  <c r="P58" i="9"/>
  <c r="X58" i="9" s="1"/>
  <c r="H58" i="9"/>
  <c r="D58" i="9"/>
  <c r="L58" i="9" s="1"/>
  <c r="B58" i="9"/>
  <c r="X57" i="9"/>
  <c r="Z57" i="9" s="1"/>
  <c r="L57" i="9"/>
  <c r="N57" i="9" s="1"/>
  <c r="B57" i="9"/>
  <c r="T56" i="9"/>
  <c r="P56" i="9"/>
  <c r="X56" i="9" s="1"/>
  <c r="Z56" i="9" s="1"/>
  <c r="H56" i="9"/>
  <c r="D56" i="9"/>
  <c r="L56" i="9" s="1"/>
  <c r="N56" i="9" s="1"/>
  <c r="B56" i="9"/>
  <c r="X55" i="9"/>
  <c r="Z55" i="9" s="1"/>
  <c r="N55" i="9"/>
  <c r="L55" i="9"/>
  <c r="B55" i="9"/>
  <c r="X54" i="9"/>
  <c r="Z54" i="9" s="1"/>
  <c r="T54" i="9"/>
  <c r="P54" i="9"/>
  <c r="N54" i="9"/>
  <c r="L54" i="9"/>
  <c r="H54" i="9"/>
  <c r="D54" i="9"/>
  <c r="B54" i="9"/>
  <c r="Z53" i="9"/>
  <c r="X53" i="9"/>
  <c r="L53" i="9"/>
  <c r="N53" i="9" s="1"/>
  <c r="B53" i="9"/>
  <c r="V52" i="9"/>
  <c r="T52" i="9"/>
  <c r="P52" i="9"/>
  <c r="X52" i="9" s="1"/>
  <c r="H52" i="9"/>
  <c r="N52" i="9" s="1"/>
  <c r="D52" i="9"/>
  <c r="L52" i="9" s="1"/>
  <c r="B52" i="9"/>
  <c r="X51" i="9"/>
  <c r="Z51" i="9" s="1"/>
  <c r="V51" i="9"/>
  <c r="N51" i="9"/>
  <c r="L51" i="9"/>
  <c r="B51" i="9"/>
  <c r="Z50" i="9"/>
  <c r="X50" i="9"/>
  <c r="L50" i="9"/>
  <c r="N50" i="9" s="1"/>
  <c r="B50" i="9"/>
  <c r="X49" i="9"/>
  <c r="T49" i="9"/>
  <c r="Z49" i="9" s="1"/>
  <c r="P49" i="9"/>
  <c r="L49" i="9"/>
  <c r="H49" i="9"/>
  <c r="N49" i="9" s="1"/>
  <c r="D49" i="9"/>
  <c r="B49" i="9"/>
  <c r="Z48" i="9"/>
  <c r="X48" i="9"/>
  <c r="N48" i="9"/>
  <c r="L48" i="9"/>
  <c r="J48" i="9"/>
  <c r="F48" i="9"/>
  <c r="B48" i="9"/>
  <c r="T47" i="9"/>
  <c r="P47" i="9"/>
  <c r="X47" i="9" s="1"/>
  <c r="H47" i="9"/>
  <c r="F47" i="9"/>
  <c r="D47" i="9"/>
  <c r="B47" i="9"/>
  <c r="Z46" i="9"/>
  <c r="X46" i="9"/>
  <c r="V46" i="9"/>
  <c r="N46" i="9"/>
  <c r="L46" i="9"/>
  <c r="B46" i="9"/>
  <c r="Z45" i="9"/>
  <c r="T45" i="9"/>
  <c r="P45" i="9"/>
  <c r="X45" i="9" s="1"/>
  <c r="H45" i="9"/>
  <c r="D45" i="9"/>
  <c r="L45" i="9" s="1"/>
  <c r="B45" i="9"/>
  <c r="Z44" i="9"/>
  <c r="X44" i="9"/>
  <c r="N44" i="9"/>
  <c r="L44" i="9"/>
  <c r="B44" i="9"/>
  <c r="X43" i="9"/>
  <c r="V43" i="9"/>
  <c r="T43" i="9"/>
  <c r="P43" i="9"/>
  <c r="L43" i="9"/>
  <c r="H43" i="9"/>
  <c r="N43" i="9" s="1"/>
  <c r="D43" i="9"/>
  <c r="B43" i="9"/>
  <c r="Z42" i="9"/>
  <c r="X42" i="9"/>
  <c r="N42" i="9"/>
  <c r="L42" i="9"/>
  <c r="B42" i="9"/>
  <c r="Z41" i="9"/>
  <c r="X41" i="9"/>
  <c r="N41" i="9"/>
  <c r="L41" i="9"/>
  <c r="B41" i="9"/>
  <c r="Z40" i="9"/>
  <c r="X40" i="9"/>
  <c r="N40" i="9"/>
  <c r="L40" i="9"/>
  <c r="F40" i="9"/>
  <c r="B40" i="9"/>
  <c r="X39" i="9"/>
  <c r="Z39" i="9" s="1"/>
  <c r="N39" i="9"/>
  <c r="L39" i="9"/>
  <c r="B39" i="9"/>
  <c r="Z38" i="9"/>
  <c r="X38" i="9"/>
  <c r="N38" i="9"/>
  <c r="L38" i="9"/>
  <c r="B38" i="9"/>
  <c r="X37" i="9"/>
  <c r="Z37" i="9" s="1"/>
  <c r="R37" i="9"/>
  <c r="N37" i="9"/>
  <c r="L37" i="9"/>
  <c r="B37" i="9"/>
  <c r="Z36" i="9"/>
  <c r="X36" i="9"/>
  <c r="N36" i="9"/>
  <c r="L36" i="9"/>
  <c r="F36" i="9"/>
  <c r="B36" i="9"/>
  <c r="Z35" i="9"/>
  <c r="X35" i="9"/>
  <c r="N35" i="9"/>
  <c r="L35" i="9"/>
  <c r="B35" i="9"/>
  <c r="X34" i="9"/>
  <c r="Z34" i="9" s="1"/>
  <c r="N34" i="9"/>
  <c r="L34" i="9"/>
  <c r="B34" i="9"/>
  <c r="X33" i="9"/>
  <c r="Z33" i="9" s="1"/>
  <c r="R33" i="9"/>
  <c r="N33" i="9"/>
  <c r="L33" i="9"/>
  <c r="B33" i="9"/>
  <c r="Z32" i="9"/>
  <c r="X32" i="9"/>
  <c r="T32" i="9"/>
  <c r="P32" i="9"/>
  <c r="L32" i="9"/>
  <c r="N32" i="9" s="1"/>
  <c r="H32" i="9"/>
  <c r="D32" i="9"/>
  <c r="B32" i="9"/>
  <c r="Z31" i="9"/>
  <c r="X31" i="9"/>
  <c r="L31" i="9"/>
  <c r="N31" i="9" s="1"/>
  <c r="B31" i="9"/>
  <c r="X30" i="9"/>
  <c r="Z30" i="9" s="1"/>
  <c r="V30" i="9"/>
  <c r="N30" i="9"/>
  <c r="L30" i="9"/>
  <c r="B30" i="9"/>
  <c r="Z29" i="9"/>
  <c r="X29" i="9"/>
  <c r="L29" i="9"/>
  <c r="N29" i="9" s="1"/>
  <c r="B29" i="9"/>
  <c r="Z28" i="9"/>
  <c r="X28" i="9"/>
  <c r="V28" i="9"/>
  <c r="N28" i="9"/>
  <c r="L28" i="9"/>
  <c r="B28" i="9"/>
  <c r="Z27" i="9"/>
  <c r="X27" i="9"/>
  <c r="N27" i="9"/>
  <c r="L27" i="9"/>
  <c r="B27" i="9"/>
  <c r="X26" i="9"/>
  <c r="Z26" i="9" s="1"/>
  <c r="V26" i="9"/>
  <c r="N26" i="9"/>
  <c r="L26" i="9"/>
  <c r="B26" i="9"/>
  <c r="Z25" i="9"/>
  <c r="X25" i="9"/>
  <c r="L25" i="9"/>
  <c r="N25" i="9" s="1"/>
  <c r="B25" i="9"/>
  <c r="Z24" i="9"/>
  <c r="X24" i="9"/>
  <c r="V24" i="9"/>
  <c r="N24" i="9"/>
  <c r="L24" i="9"/>
  <c r="B24" i="9"/>
  <c r="Z23" i="9"/>
  <c r="X23" i="9"/>
  <c r="L23" i="9"/>
  <c r="N23" i="9" s="1"/>
  <c r="J23" i="9"/>
  <c r="B23" i="9"/>
  <c r="X22" i="9"/>
  <c r="Z22" i="9" s="1"/>
  <c r="V22" i="9"/>
  <c r="N22" i="9"/>
  <c r="L22" i="9"/>
  <c r="B22" i="9"/>
  <c r="Z21" i="9"/>
  <c r="X21" i="9"/>
  <c r="L21" i="9"/>
  <c r="N21" i="9" s="1"/>
  <c r="B21" i="9"/>
  <c r="V20" i="9"/>
  <c r="T20" i="9"/>
  <c r="P20" i="9"/>
  <c r="X20" i="9" s="1"/>
  <c r="H20" i="9"/>
  <c r="D20" i="9"/>
  <c r="L20" i="9" s="1"/>
  <c r="B20" i="9"/>
  <c r="V19" i="9"/>
  <c r="T19" i="9"/>
  <c r="X19" i="9" s="1"/>
  <c r="P19" i="9"/>
  <c r="H19" i="9"/>
  <c r="D19" i="9"/>
  <c r="L19" i="9" s="1"/>
  <c r="V17" i="9"/>
  <c r="X15" i="9"/>
  <c r="V15" i="9"/>
  <c r="T15" i="9"/>
  <c r="Z15" i="9" s="1"/>
  <c r="P15" i="9"/>
  <c r="L15" i="9"/>
  <c r="H15" i="9"/>
  <c r="N15" i="9" s="1"/>
  <c r="D15" i="9"/>
  <c r="Z13" i="9"/>
  <c r="X13" i="9"/>
  <c r="P13" i="9"/>
  <c r="P12" i="9" s="1"/>
  <c r="R93" i="9" s="1"/>
  <c r="N13" i="9"/>
  <c r="D13" i="9"/>
  <c r="L13" i="9" s="1"/>
  <c r="B13" i="9"/>
  <c r="Z12" i="9"/>
  <c r="T12" i="9"/>
  <c r="V81" i="9" s="1"/>
  <c r="H12" i="9"/>
  <c r="J67" i="9" s="1"/>
  <c r="D12" i="9"/>
  <c r="F97" i="9" s="1"/>
  <c r="D4" i="9"/>
  <c r="V31" i="6"/>
  <c r="J31" i="6"/>
  <c r="X29" i="6"/>
  <c r="V29" i="6"/>
  <c r="T29" i="6"/>
  <c r="Z29" i="6" s="1"/>
  <c r="P29" i="6"/>
  <c r="L29" i="6"/>
  <c r="J29" i="6"/>
  <c r="H29" i="6"/>
  <c r="N29" i="6" s="1"/>
  <c r="D29" i="6"/>
  <c r="X28" i="6"/>
  <c r="V28" i="6"/>
  <c r="T28" i="6"/>
  <c r="Z28" i="6" s="1"/>
  <c r="P28" i="6"/>
  <c r="L28" i="6"/>
  <c r="J28" i="6"/>
  <c r="H28" i="6"/>
  <c r="N28" i="6" s="1"/>
  <c r="D28" i="6"/>
  <c r="V26" i="6"/>
  <c r="J26" i="6"/>
  <c r="Z24" i="6"/>
  <c r="X24" i="6"/>
  <c r="V24" i="6"/>
  <c r="R24" i="6"/>
  <c r="N24" i="6"/>
  <c r="L24" i="6"/>
  <c r="F24" i="6"/>
  <c r="Z20" i="6"/>
  <c r="T20" i="6"/>
  <c r="P20" i="6"/>
  <c r="X20" i="6" s="1"/>
  <c r="H20" i="6"/>
  <c r="N20" i="6" s="1"/>
  <c r="D20" i="6"/>
  <c r="L20" i="6" s="1"/>
  <c r="Z18" i="6"/>
  <c r="T18" i="6"/>
  <c r="P18" i="6"/>
  <c r="X18" i="6" s="1"/>
  <c r="H18" i="6"/>
  <c r="N18" i="6" s="1"/>
  <c r="D18" i="6"/>
  <c r="L18" i="6" s="1"/>
  <c r="Z14" i="6"/>
  <c r="T14" i="6"/>
  <c r="T16" i="6" s="1"/>
  <c r="T22" i="6" s="1"/>
  <c r="T26" i="6" s="1"/>
  <c r="P14" i="6"/>
  <c r="P16" i="6" s="1"/>
  <c r="H14" i="6"/>
  <c r="N14" i="6" s="1"/>
  <c r="D14" i="6"/>
  <c r="L14" i="6" s="1"/>
  <c r="Z12" i="6"/>
  <c r="X12" i="6"/>
  <c r="T12" i="6"/>
  <c r="V22" i="6" s="1"/>
  <c r="P12" i="6"/>
  <c r="R22" i="6" s="1"/>
  <c r="L12" i="6"/>
  <c r="H12" i="6"/>
  <c r="N12" i="6" s="1"/>
  <c r="D12" i="6"/>
  <c r="F31" i="6" s="1"/>
  <c r="D4" i="6"/>
  <c r="X267" i="3"/>
  <c r="Z267" i="3" s="1"/>
  <c r="T267" i="3"/>
  <c r="P267" i="3"/>
  <c r="N267" i="3"/>
  <c r="L267" i="3"/>
  <c r="H267" i="3"/>
  <c r="D267" i="3"/>
  <c r="Z266" i="3"/>
  <c r="X266" i="3"/>
  <c r="T266" i="3"/>
  <c r="P266" i="3"/>
  <c r="N266" i="3"/>
  <c r="L266" i="3"/>
  <c r="H266" i="3"/>
  <c r="D266" i="3"/>
  <c r="Z262" i="3"/>
  <c r="X262" i="3"/>
  <c r="N262" i="3"/>
  <c r="L262" i="3"/>
  <c r="Z258" i="3"/>
  <c r="P258" i="3"/>
  <c r="N258" i="3"/>
  <c r="L258" i="3"/>
  <c r="D258" i="3"/>
  <c r="B258" i="3"/>
  <c r="Z257" i="3"/>
  <c r="X257" i="3"/>
  <c r="P257" i="3"/>
  <c r="N257" i="3"/>
  <c r="L257" i="3"/>
  <c r="D257" i="3"/>
  <c r="B257" i="3"/>
  <c r="P256" i="3"/>
  <c r="X256" i="3" s="1"/>
  <c r="Z256" i="3" s="1"/>
  <c r="L256" i="3"/>
  <c r="N256" i="3" s="1"/>
  <c r="D256" i="3"/>
  <c r="B256" i="3"/>
  <c r="Z255" i="3"/>
  <c r="X255" i="3"/>
  <c r="P255" i="3"/>
  <c r="N255" i="3"/>
  <c r="D255" i="3"/>
  <c r="L255" i="3" s="1"/>
  <c r="B255" i="3"/>
  <c r="P254" i="3"/>
  <c r="X254" i="3" s="1"/>
  <c r="Z254" i="3" s="1"/>
  <c r="D254" i="3"/>
  <c r="L254" i="3" s="1"/>
  <c r="N254" i="3" s="1"/>
  <c r="B254" i="3"/>
  <c r="P253" i="3"/>
  <c r="X253" i="3" s="1"/>
  <c r="Z253" i="3" s="1"/>
  <c r="D253" i="3"/>
  <c r="L253" i="3" s="1"/>
  <c r="N253" i="3" s="1"/>
  <c r="B253" i="3"/>
  <c r="Z252" i="3"/>
  <c r="P252" i="3"/>
  <c r="X252" i="3" s="1"/>
  <c r="N252" i="3"/>
  <c r="L252" i="3"/>
  <c r="D252" i="3"/>
  <c r="B252" i="3"/>
  <c r="T251" i="3"/>
  <c r="H251" i="3"/>
  <c r="D251" i="3"/>
  <c r="L251" i="3" s="1"/>
  <c r="Z249" i="3"/>
  <c r="X249" i="3"/>
  <c r="L249" i="3"/>
  <c r="N249" i="3" s="1"/>
  <c r="B249" i="3"/>
  <c r="T248" i="3"/>
  <c r="P248" i="3"/>
  <c r="X248" i="3" s="1"/>
  <c r="H248" i="3"/>
  <c r="D248" i="3"/>
  <c r="L248" i="3" s="1"/>
  <c r="B248" i="3"/>
  <c r="X247" i="3"/>
  <c r="Z247" i="3" s="1"/>
  <c r="L247" i="3"/>
  <c r="N247" i="3" s="1"/>
  <c r="B247" i="3"/>
  <c r="Z246" i="3"/>
  <c r="X246" i="3"/>
  <c r="N246" i="3"/>
  <c r="L246" i="3"/>
  <c r="B246" i="3"/>
  <c r="X245" i="3"/>
  <c r="Z245" i="3" s="1"/>
  <c r="L245" i="3"/>
  <c r="N245" i="3" s="1"/>
  <c r="B245" i="3"/>
  <c r="T244" i="3"/>
  <c r="P244" i="3"/>
  <c r="X244" i="3" s="1"/>
  <c r="Z244" i="3" s="1"/>
  <c r="H244" i="3"/>
  <c r="D244" i="3"/>
  <c r="L244" i="3" s="1"/>
  <c r="N244" i="3" s="1"/>
  <c r="B244" i="3"/>
  <c r="X243" i="3"/>
  <c r="Z243" i="3" s="1"/>
  <c r="N243" i="3"/>
  <c r="L243" i="3"/>
  <c r="B243" i="3"/>
  <c r="X242" i="3"/>
  <c r="Z242" i="3" s="1"/>
  <c r="T242" i="3"/>
  <c r="P242" i="3"/>
  <c r="N242" i="3"/>
  <c r="L242" i="3"/>
  <c r="H242" i="3"/>
  <c r="D242" i="3"/>
  <c r="B242" i="3"/>
  <c r="Z241" i="3"/>
  <c r="X241" i="3"/>
  <c r="L241" i="3"/>
  <c r="N241" i="3" s="1"/>
  <c r="B241" i="3"/>
  <c r="Z240" i="3"/>
  <c r="X240" i="3"/>
  <c r="N240" i="3"/>
  <c r="L240" i="3"/>
  <c r="B240" i="3"/>
  <c r="T239" i="3"/>
  <c r="P239" i="3"/>
  <c r="X239" i="3" s="1"/>
  <c r="N239" i="3"/>
  <c r="L239" i="3"/>
  <c r="H239" i="3"/>
  <c r="D239" i="3"/>
  <c r="B239" i="3"/>
  <c r="Z238" i="3"/>
  <c r="X238" i="3"/>
  <c r="L238" i="3"/>
  <c r="N238" i="3" s="1"/>
  <c r="B238" i="3"/>
  <c r="X237" i="3"/>
  <c r="Z237" i="3" s="1"/>
  <c r="L237" i="3"/>
  <c r="N237" i="3" s="1"/>
  <c r="B237" i="3"/>
  <c r="Z236" i="3"/>
  <c r="X236" i="3"/>
  <c r="N236" i="3"/>
  <c r="L236" i="3"/>
  <c r="B236" i="3"/>
  <c r="X235" i="3"/>
  <c r="Z235" i="3" s="1"/>
  <c r="L235" i="3"/>
  <c r="N235" i="3" s="1"/>
  <c r="B235" i="3"/>
  <c r="Z234" i="3"/>
  <c r="X234" i="3"/>
  <c r="N234" i="3"/>
  <c r="L234" i="3"/>
  <c r="B234" i="3"/>
  <c r="X233" i="3"/>
  <c r="Z233" i="3" s="1"/>
  <c r="L233" i="3"/>
  <c r="N233" i="3" s="1"/>
  <c r="B233" i="3"/>
  <c r="Z232" i="3"/>
  <c r="X232" i="3"/>
  <c r="N232" i="3"/>
  <c r="L232" i="3"/>
  <c r="B232" i="3"/>
  <c r="X231" i="3"/>
  <c r="Z231" i="3" s="1"/>
  <c r="L231" i="3"/>
  <c r="N231" i="3" s="1"/>
  <c r="B231" i="3"/>
  <c r="Z230" i="3"/>
  <c r="X230" i="3"/>
  <c r="L230" i="3"/>
  <c r="N230" i="3" s="1"/>
  <c r="B230" i="3"/>
  <c r="X229" i="3"/>
  <c r="Z229" i="3" s="1"/>
  <c r="L229" i="3"/>
  <c r="N229" i="3" s="1"/>
  <c r="B229" i="3"/>
  <c r="Z228" i="3"/>
  <c r="X228" i="3"/>
  <c r="N228" i="3"/>
  <c r="L228" i="3"/>
  <c r="B228" i="3"/>
  <c r="X227" i="3"/>
  <c r="T227" i="3"/>
  <c r="Z227" i="3" s="1"/>
  <c r="P227" i="3"/>
  <c r="H227" i="3"/>
  <c r="N227" i="3" s="1"/>
  <c r="D227" i="3"/>
  <c r="L227" i="3" s="1"/>
  <c r="B227" i="3"/>
  <c r="X226" i="3"/>
  <c r="Z226" i="3" s="1"/>
  <c r="N226" i="3"/>
  <c r="L226" i="3"/>
  <c r="B226" i="3"/>
  <c r="X225" i="3"/>
  <c r="Z225" i="3" s="1"/>
  <c r="N225" i="3"/>
  <c r="L225" i="3"/>
  <c r="B225" i="3"/>
  <c r="Z224" i="3"/>
  <c r="X224" i="3"/>
  <c r="T224" i="3"/>
  <c r="P224" i="3"/>
  <c r="N224" i="3"/>
  <c r="L224" i="3"/>
  <c r="H224" i="3"/>
  <c r="D224" i="3"/>
  <c r="B224" i="3"/>
  <c r="Z223" i="3"/>
  <c r="X223" i="3"/>
  <c r="L223" i="3"/>
  <c r="N223" i="3" s="1"/>
  <c r="B223" i="3"/>
  <c r="Z222" i="3"/>
  <c r="X222" i="3"/>
  <c r="N222" i="3"/>
  <c r="L222" i="3"/>
  <c r="B222" i="3"/>
  <c r="Z221" i="3"/>
  <c r="X221" i="3"/>
  <c r="L221" i="3"/>
  <c r="N221" i="3" s="1"/>
  <c r="B221" i="3"/>
  <c r="Z220" i="3"/>
  <c r="X220" i="3"/>
  <c r="N220" i="3"/>
  <c r="L220" i="3"/>
  <c r="B220" i="3"/>
  <c r="Z219" i="3"/>
  <c r="X219" i="3"/>
  <c r="L219" i="3"/>
  <c r="N219" i="3" s="1"/>
  <c r="B219" i="3"/>
  <c r="T218" i="3"/>
  <c r="Z218" i="3" s="1"/>
  <c r="P218" i="3"/>
  <c r="X218" i="3" s="1"/>
  <c r="H218" i="3"/>
  <c r="D218" i="3"/>
  <c r="L218" i="3" s="1"/>
  <c r="B218" i="3"/>
  <c r="X217" i="3"/>
  <c r="Z217" i="3" s="1"/>
  <c r="L217" i="3"/>
  <c r="N217" i="3" s="1"/>
  <c r="B217" i="3"/>
  <c r="Z216" i="3"/>
  <c r="X216" i="3"/>
  <c r="N216" i="3"/>
  <c r="L216" i="3"/>
  <c r="B216" i="3"/>
  <c r="X215" i="3"/>
  <c r="Z215" i="3" s="1"/>
  <c r="L215" i="3"/>
  <c r="N215" i="3" s="1"/>
  <c r="B215" i="3"/>
  <c r="X214" i="3"/>
  <c r="Z214" i="3" s="1"/>
  <c r="L214" i="3"/>
  <c r="N214" i="3" s="1"/>
  <c r="B214" i="3"/>
  <c r="T213" i="3"/>
  <c r="P213" i="3"/>
  <c r="X213" i="3" s="1"/>
  <c r="L213" i="3"/>
  <c r="H213" i="3"/>
  <c r="D213" i="3"/>
  <c r="B213" i="3"/>
  <c r="Z212" i="3"/>
  <c r="X212" i="3"/>
  <c r="N212" i="3"/>
  <c r="L212" i="3"/>
  <c r="B212" i="3"/>
  <c r="X211" i="3"/>
  <c r="Z211" i="3" s="1"/>
  <c r="N211" i="3"/>
  <c r="L211" i="3"/>
  <c r="B211" i="3"/>
  <c r="Z210" i="3"/>
  <c r="X210" i="3"/>
  <c r="N210" i="3"/>
  <c r="L210" i="3"/>
  <c r="B210" i="3"/>
  <c r="X209" i="3"/>
  <c r="Z209" i="3" s="1"/>
  <c r="N209" i="3"/>
  <c r="L209" i="3"/>
  <c r="B209" i="3"/>
  <c r="Z208" i="3"/>
  <c r="X208" i="3"/>
  <c r="T208" i="3"/>
  <c r="P208" i="3"/>
  <c r="N208" i="3"/>
  <c r="L208" i="3"/>
  <c r="H208" i="3"/>
  <c r="D208" i="3"/>
  <c r="B208" i="3"/>
  <c r="Z207" i="3"/>
  <c r="X207" i="3"/>
  <c r="L207" i="3"/>
  <c r="N207" i="3" s="1"/>
  <c r="B207" i="3"/>
  <c r="T206" i="3"/>
  <c r="Z206" i="3" s="1"/>
  <c r="P206" i="3"/>
  <c r="X206" i="3" s="1"/>
  <c r="H206" i="3"/>
  <c r="D206" i="3"/>
  <c r="L206" i="3" s="1"/>
  <c r="B206" i="3"/>
  <c r="X205" i="3"/>
  <c r="Z205" i="3" s="1"/>
  <c r="L205" i="3"/>
  <c r="N205" i="3" s="1"/>
  <c r="B205" i="3"/>
  <c r="T204" i="3"/>
  <c r="P204" i="3"/>
  <c r="X204" i="3" s="1"/>
  <c r="Z204" i="3" s="1"/>
  <c r="H204" i="3"/>
  <c r="D204" i="3"/>
  <c r="L204" i="3" s="1"/>
  <c r="N204" i="3" s="1"/>
  <c r="B204" i="3"/>
  <c r="X203" i="3"/>
  <c r="Z203" i="3" s="1"/>
  <c r="N203" i="3"/>
  <c r="L203" i="3"/>
  <c r="B203" i="3"/>
  <c r="X202" i="3"/>
  <c r="Z202" i="3" s="1"/>
  <c r="T202" i="3"/>
  <c r="P202" i="3"/>
  <c r="N202" i="3"/>
  <c r="L202" i="3"/>
  <c r="H202" i="3"/>
  <c r="D202" i="3"/>
  <c r="B202" i="3"/>
  <c r="Z201" i="3"/>
  <c r="X201" i="3"/>
  <c r="L201" i="3"/>
  <c r="N201" i="3" s="1"/>
  <c r="B201" i="3"/>
  <c r="T200" i="3"/>
  <c r="P200" i="3"/>
  <c r="H200" i="3"/>
  <c r="N200" i="3" s="1"/>
  <c r="D200" i="3"/>
  <c r="L200" i="3" s="1"/>
  <c r="B200" i="3"/>
  <c r="X199" i="3"/>
  <c r="Z199" i="3" s="1"/>
  <c r="L199" i="3"/>
  <c r="N199" i="3" s="1"/>
  <c r="B199" i="3"/>
  <c r="T198" i="3"/>
  <c r="P198" i="3"/>
  <c r="X198" i="3" s="1"/>
  <c r="H198" i="3"/>
  <c r="D198" i="3"/>
  <c r="L198" i="3" s="1"/>
  <c r="N198" i="3" s="1"/>
  <c r="B198" i="3"/>
  <c r="X197" i="3"/>
  <c r="Z197" i="3" s="1"/>
  <c r="N197" i="3"/>
  <c r="L197" i="3"/>
  <c r="B197" i="3"/>
  <c r="Z196" i="3"/>
  <c r="X196" i="3"/>
  <c r="T196" i="3"/>
  <c r="P196" i="3"/>
  <c r="L196" i="3"/>
  <c r="N196" i="3" s="1"/>
  <c r="H196" i="3"/>
  <c r="D196" i="3"/>
  <c r="B196" i="3"/>
  <c r="Z195" i="3"/>
  <c r="X195" i="3"/>
  <c r="L195" i="3"/>
  <c r="N195" i="3" s="1"/>
  <c r="B195" i="3"/>
  <c r="X194" i="3"/>
  <c r="Z194" i="3" s="1"/>
  <c r="N194" i="3"/>
  <c r="L194" i="3"/>
  <c r="B194" i="3"/>
  <c r="Z193" i="3"/>
  <c r="X193" i="3"/>
  <c r="L193" i="3"/>
  <c r="N193" i="3" s="1"/>
  <c r="B193" i="3"/>
  <c r="T192" i="3"/>
  <c r="P192" i="3"/>
  <c r="H192" i="3"/>
  <c r="N192" i="3" s="1"/>
  <c r="D192" i="3"/>
  <c r="L192" i="3" s="1"/>
  <c r="B192" i="3"/>
  <c r="X191" i="3"/>
  <c r="Z191" i="3" s="1"/>
  <c r="L191" i="3"/>
  <c r="N191" i="3" s="1"/>
  <c r="B191" i="3"/>
  <c r="X190" i="3"/>
  <c r="Z190" i="3" s="1"/>
  <c r="L190" i="3"/>
  <c r="N190" i="3" s="1"/>
  <c r="B190" i="3"/>
  <c r="T189" i="3"/>
  <c r="P189" i="3"/>
  <c r="X189" i="3" s="1"/>
  <c r="Z189" i="3" s="1"/>
  <c r="L189" i="3"/>
  <c r="H189" i="3"/>
  <c r="D189" i="3"/>
  <c r="B189" i="3"/>
  <c r="Z188" i="3"/>
  <c r="X188" i="3"/>
  <c r="N188" i="3"/>
  <c r="L188" i="3"/>
  <c r="B188" i="3"/>
  <c r="T187" i="3"/>
  <c r="P187" i="3"/>
  <c r="H187" i="3"/>
  <c r="D187" i="3"/>
  <c r="L187" i="3" s="1"/>
  <c r="B187" i="3"/>
  <c r="X186" i="3"/>
  <c r="Z186" i="3" s="1"/>
  <c r="L186" i="3"/>
  <c r="N186" i="3" s="1"/>
  <c r="B186" i="3"/>
  <c r="Z185" i="3"/>
  <c r="X185" i="3"/>
  <c r="T185" i="3"/>
  <c r="P185" i="3"/>
  <c r="H185" i="3"/>
  <c r="N185" i="3" s="1"/>
  <c r="D185" i="3"/>
  <c r="L185" i="3" s="1"/>
  <c r="B185" i="3"/>
  <c r="Z184" i="3"/>
  <c r="X184" i="3"/>
  <c r="N184" i="3"/>
  <c r="L184" i="3"/>
  <c r="B184" i="3"/>
  <c r="Z183" i="3"/>
  <c r="X183" i="3"/>
  <c r="N183" i="3"/>
  <c r="L183" i="3"/>
  <c r="B183" i="3"/>
  <c r="T182" i="3"/>
  <c r="P182" i="3"/>
  <c r="X182" i="3" s="1"/>
  <c r="H182" i="3"/>
  <c r="D182" i="3"/>
  <c r="L182" i="3" s="1"/>
  <c r="N182" i="3" s="1"/>
  <c r="B182" i="3"/>
  <c r="Z181" i="3"/>
  <c r="X181" i="3"/>
  <c r="N181" i="3"/>
  <c r="L181" i="3"/>
  <c r="B181" i="3"/>
  <c r="Z180" i="3"/>
  <c r="X180" i="3"/>
  <c r="N180" i="3"/>
  <c r="L180" i="3"/>
  <c r="B180" i="3"/>
  <c r="T179" i="3"/>
  <c r="P179" i="3"/>
  <c r="X179" i="3" s="1"/>
  <c r="H179" i="3"/>
  <c r="D179" i="3"/>
  <c r="L179" i="3" s="1"/>
  <c r="B179" i="3"/>
  <c r="X178" i="3"/>
  <c r="Z178" i="3" s="1"/>
  <c r="L178" i="3"/>
  <c r="N178" i="3" s="1"/>
  <c r="B178" i="3"/>
  <c r="Z177" i="3"/>
  <c r="X177" i="3"/>
  <c r="L177" i="3"/>
  <c r="N177" i="3" s="1"/>
  <c r="B177" i="3"/>
  <c r="Z176" i="3"/>
  <c r="X176" i="3"/>
  <c r="N176" i="3"/>
  <c r="L176" i="3"/>
  <c r="B176" i="3"/>
  <c r="T175" i="3"/>
  <c r="Z175" i="3" s="1"/>
  <c r="P175" i="3"/>
  <c r="X175" i="3" s="1"/>
  <c r="L175" i="3"/>
  <c r="N175" i="3" s="1"/>
  <c r="H175" i="3"/>
  <c r="D175" i="3"/>
  <c r="B175" i="3"/>
  <c r="X174" i="3"/>
  <c r="Z174" i="3" s="1"/>
  <c r="L174" i="3"/>
  <c r="N174" i="3" s="1"/>
  <c r="B174" i="3"/>
  <c r="X173" i="3"/>
  <c r="Z173" i="3" s="1"/>
  <c r="T173" i="3"/>
  <c r="P173" i="3"/>
  <c r="L173" i="3"/>
  <c r="H173" i="3"/>
  <c r="D173" i="3"/>
  <c r="B173" i="3"/>
  <c r="Z172" i="3"/>
  <c r="X172" i="3"/>
  <c r="N172" i="3"/>
  <c r="L172" i="3"/>
  <c r="B172" i="3"/>
  <c r="X171" i="3"/>
  <c r="Z171" i="3" s="1"/>
  <c r="N171" i="3"/>
  <c r="L171" i="3"/>
  <c r="B171" i="3"/>
  <c r="Z170" i="3"/>
  <c r="X170" i="3"/>
  <c r="T170" i="3"/>
  <c r="P170" i="3"/>
  <c r="N170" i="3"/>
  <c r="L170" i="3"/>
  <c r="H170" i="3"/>
  <c r="D170" i="3"/>
  <c r="B170" i="3"/>
  <c r="X169" i="3"/>
  <c r="Z169" i="3" s="1"/>
  <c r="L169" i="3"/>
  <c r="N169" i="3" s="1"/>
  <c r="B169" i="3"/>
  <c r="Z168" i="3"/>
  <c r="T168" i="3"/>
  <c r="X168" i="3" s="1"/>
  <c r="P168" i="3"/>
  <c r="H168" i="3"/>
  <c r="D168" i="3"/>
  <c r="L168" i="3" s="1"/>
  <c r="B168" i="3"/>
  <c r="Z167" i="3"/>
  <c r="X167" i="3"/>
  <c r="N167" i="3"/>
  <c r="L167" i="3"/>
  <c r="B167" i="3"/>
  <c r="Z166" i="3"/>
  <c r="X166" i="3"/>
  <c r="N166" i="3"/>
  <c r="L166" i="3"/>
  <c r="B166" i="3"/>
  <c r="X165" i="3"/>
  <c r="Z165" i="3" s="1"/>
  <c r="L165" i="3"/>
  <c r="N165" i="3" s="1"/>
  <c r="B165" i="3"/>
  <c r="Z164" i="3"/>
  <c r="X164" i="3"/>
  <c r="N164" i="3"/>
  <c r="L164" i="3"/>
  <c r="B164" i="3"/>
  <c r="Z163" i="3"/>
  <c r="X163" i="3"/>
  <c r="N163" i="3"/>
  <c r="L163" i="3"/>
  <c r="B163" i="3"/>
  <c r="X162" i="3"/>
  <c r="Z162" i="3" s="1"/>
  <c r="L162" i="3"/>
  <c r="N162" i="3" s="1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X158" i="3"/>
  <c r="Z158" i="3" s="1"/>
  <c r="L158" i="3"/>
  <c r="N158" i="3" s="1"/>
  <c r="B158" i="3"/>
  <c r="X157" i="3"/>
  <c r="Z157" i="3" s="1"/>
  <c r="T157" i="3"/>
  <c r="P157" i="3"/>
  <c r="H157" i="3"/>
  <c r="D157" i="3"/>
  <c r="B157" i="3"/>
  <c r="Z156" i="3"/>
  <c r="X156" i="3"/>
  <c r="N156" i="3"/>
  <c r="L156" i="3"/>
  <c r="B156" i="3"/>
  <c r="X155" i="3"/>
  <c r="Z155" i="3" s="1"/>
  <c r="N155" i="3"/>
  <c r="L155" i="3"/>
  <c r="B155" i="3"/>
  <c r="X154" i="3"/>
  <c r="Z154" i="3" s="1"/>
  <c r="L154" i="3"/>
  <c r="N154" i="3" s="1"/>
  <c r="B154" i="3"/>
  <c r="Z153" i="3"/>
  <c r="X153" i="3"/>
  <c r="N153" i="3"/>
  <c r="L153" i="3"/>
  <c r="B153" i="3"/>
  <c r="Z152" i="3"/>
  <c r="X152" i="3"/>
  <c r="N152" i="3"/>
  <c r="L152" i="3"/>
  <c r="B152" i="3"/>
  <c r="X151" i="3"/>
  <c r="Z151" i="3" s="1"/>
  <c r="N151" i="3"/>
  <c r="L151" i="3"/>
  <c r="B151" i="3"/>
  <c r="X150" i="3"/>
  <c r="Z150" i="3" s="1"/>
  <c r="L150" i="3"/>
  <c r="N150" i="3" s="1"/>
  <c r="B150" i="3"/>
  <c r="X149" i="3"/>
  <c r="Z149" i="3" s="1"/>
  <c r="N149" i="3"/>
  <c r="L149" i="3"/>
  <c r="B149" i="3"/>
  <c r="X148" i="3"/>
  <c r="Z148" i="3" s="1"/>
  <c r="N148" i="3"/>
  <c r="L148" i="3"/>
  <c r="B148" i="3"/>
  <c r="X147" i="3"/>
  <c r="Z147" i="3" s="1"/>
  <c r="N147" i="3"/>
  <c r="L147" i="3"/>
  <c r="B147" i="3"/>
  <c r="Z146" i="3"/>
  <c r="X146" i="3"/>
  <c r="T146" i="3"/>
  <c r="P146" i="3"/>
  <c r="N146" i="3"/>
  <c r="L146" i="3"/>
  <c r="H146" i="3"/>
  <c r="D146" i="3"/>
  <c r="B146" i="3"/>
  <c r="X145" i="3"/>
  <c r="Z145" i="3" s="1"/>
  <c r="T145" i="3"/>
  <c r="P145" i="3"/>
  <c r="H145" i="3"/>
  <c r="D145" i="3"/>
  <c r="L145" i="3" s="1"/>
  <c r="Z141" i="3"/>
  <c r="X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V136" i="3"/>
  <c r="N136" i="3"/>
  <c r="L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V132" i="3"/>
  <c r="N132" i="3"/>
  <c r="L132" i="3"/>
  <c r="B132" i="3"/>
  <c r="Z131" i="3"/>
  <c r="X131" i="3"/>
  <c r="N131" i="3"/>
  <c r="L131" i="3"/>
  <c r="B131" i="3"/>
  <c r="Z130" i="3"/>
  <c r="X130" i="3"/>
  <c r="V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V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V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V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V112" i="3"/>
  <c r="N112" i="3"/>
  <c r="L112" i="3"/>
  <c r="B112" i="3"/>
  <c r="Z111" i="3"/>
  <c r="X111" i="3"/>
  <c r="V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V108" i="3"/>
  <c r="N108" i="3"/>
  <c r="L108" i="3"/>
  <c r="B108" i="3"/>
  <c r="Z107" i="3"/>
  <c r="X107" i="3"/>
  <c r="V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V104" i="3"/>
  <c r="N104" i="3"/>
  <c r="L104" i="3"/>
  <c r="B104" i="3"/>
  <c r="Z103" i="3"/>
  <c r="X103" i="3"/>
  <c r="V103" i="3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Z100" i="3"/>
  <c r="X100" i="3"/>
  <c r="V100" i="3"/>
  <c r="N100" i="3"/>
  <c r="L100" i="3"/>
  <c r="B100" i="3"/>
  <c r="Z99" i="3"/>
  <c r="X99" i="3"/>
  <c r="V99" i="3"/>
  <c r="N99" i="3"/>
  <c r="L99" i="3"/>
  <c r="B99" i="3"/>
  <c r="Z98" i="3"/>
  <c r="X98" i="3"/>
  <c r="L98" i="3"/>
  <c r="N98" i="3" s="1"/>
  <c r="B98" i="3"/>
  <c r="T97" i="3"/>
  <c r="P97" i="3"/>
  <c r="H97" i="3"/>
  <c r="D97" i="3"/>
  <c r="L97" i="3" s="1"/>
  <c r="N97" i="3" s="1"/>
  <c r="Z95" i="3"/>
  <c r="P95" i="3"/>
  <c r="X95" i="3" s="1"/>
  <c r="N95" i="3"/>
  <c r="D95" i="3"/>
  <c r="L95" i="3" s="1"/>
  <c r="B95" i="3"/>
  <c r="Z94" i="3"/>
  <c r="X94" i="3"/>
  <c r="P94" i="3"/>
  <c r="N94" i="3"/>
  <c r="L94" i="3"/>
  <c r="D94" i="3"/>
  <c r="B94" i="3"/>
  <c r="Z93" i="3"/>
  <c r="X93" i="3"/>
  <c r="P93" i="3"/>
  <c r="N93" i="3"/>
  <c r="L93" i="3"/>
  <c r="D93" i="3"/>
  <c r="B93" i="3"/>
  <c r="Z92" i="3"/>
  <c r="P92" i="3"/>
  <c r="X92" i="3" s="1"/>
  <c r="N92" i="3"/>
  <c r="D92" i="3"/>
  <c r="L92" i="3" s="1"/>
  <c r="B92" i="3"/>
  <c r="Z91" i="3"/>
  <c r="P91" i="3"/>
  <c r="X91" i="3" s="1"/>
  <c r="N91" i="3"/>
  <c r="L91" i="3"/>
  <c r="D91" i="3"/>
  <c r="B91" i="3"/>
  <c r="Z90" i="3"/>
  <c r="X90" i="3"/>
  <c r="P90" i="3"/>
  <c r="N90" i="3"/>
  <c r="L90" i="3"/>
  <c r="D90" i="3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D88" i="3"/>
  <c r="L88" i="3" s="1"/>
  <c r="B88" i="3"/>
  <c r="Z87" i="3"/>
  <c r="P87" i="3"/>
  <c r="X87" i="3" s="1"/>
  <c r="N87" i="3"/>
  <c r="L87" i="3"/>
  <c r="D87" i="3"/>
  <c r="B87" i="3"/>
  <c r="Z86" i="3"/>
  <c r="P86" i="3"/>
  <c r="X86" i="3" s="1"/>
  <c r="N86" i="3"/>
  <c r="D86" i="3"/>
  <c r="L86" i="3" s="1"/>
  <c r="B86" i="3"/>
  <c r="Z85" i="3"/>
  <c r="X85" i="3"/>
  <c r="P85" i="3"/>
  <c r="N85" i="3"/>
  <c r="D85" i="3"/>
  <c r="L85" i="3" s="1"/>
  <c r="B85" i="3"/>
  <c r="Z84" i="3"/>
  <c r="X84" i="3"/>
  <c r="P84" i="3"/>
  <c r="N84" i="3"/>
  <c r="D84" i="3"/>
  <c r="L84" i="3" s="1"/>
  <c r="B84" i="3"/>
  <c r="Z83" i="3"/>
  <c r="P83" i="3"/>
  <c r="X83" i="3" s="1"/>
  <c r="N83" i="3"/>
  <c r="D83" i="3"/>
  <c r="L83" i="3" s="1"/>
  <c r="B83" i="3"/>
  <c r="Z82" i="3"/>
  <c r="X82" i="3"/>
  <c r="P82" i="3"/>
  <c r="N82" i="3"/>
  <c r="L82" i="3"/>
  <c r="D82" i="3"/>
  <c r="B82" i="3"/>
  <c r="Z81" i="3"/>
  <c r="X81" i="3"/>
  <c r="P81" i="3"/>
  <c r="N81" i="3"/>
  <c r="L81" i="3"/>
  <c r="D81" i="3"/>
  <c r="B81" i="3"/>
  <c r="Z80" i="3"/>
  <c r="P80" i="3"/>
  <c r="X80" i="3" s="1"/>
  <c r="N80" i="3"/>
  <c r="D80" i="3"/>
  <c r="L80" i="3" s="1"/>
  <c r="B80" i="3"/>
  <c r="Z79" i="3"/>
  <c r="P79" i="3"/>
  <c r="X79" i="3" s="1"/>
  <c r="N79" i="3"/>
  <c r="L79" i="3"/>
  <c r="D79" i="3"/>
  <c r="B79" i="3"/>
  <c r="Z78" i="3"/>
  <c r="X78" i="3"/>
  <c r="P78" i="3"/>
  <c r="N78" i="3"/>
  <c r="L78" i="3"/>
  <c r="D78" i="3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D76" i="3"/>
  <c r="L76" i="3" s="1"/>
  <c r="B76" i="3"/>
  <c r="Z75" i="3"/>
  <c r="P75" i="3"/>
  <c r="X75" i="3" s="1"/>
  <c r="N75" i="3"/>
  <c r="L75" i="3"/>
  <c r="D75" i="3"/>
  <c r="B75" i="3"/>
  <c r="Z74" i="3"/>
  <c r="P74" i="3"/>
  <c r="X74" i="3" s="1"/>
  <c r="N74" i="3"/>
  <c r="D74" i="3"/>
  <c r="L74" i="3" s="1"/>
  <c r="B74" i="3"/>
  <c r="Z73" i="3"/>
  <c r="X73" i="3"/>
  <c r="P73" i="3"/>
  <c r="N73" i="3"/>
  <c r="D73" i="3"/>
  <c r="L73" i="3" s="1"/>
  <c r="B73" i="3"/>
  <c r="Z72" i="3"/>
  <c r="X72" i="3"/>
  <c r="P72" i="3"/>
  <c r="N72" i="3"/>
  <c r="D72" i="3"/>
  <c r="L72" i="3" s="1"/>
  <c r="B72" i="3"/>
  <c r="Z71" i="3"/>
  <c r="P71" i="3"/>
  <c r="X71" i="3" s="1"/>
  <c r="N71" i="3"/>
  <c r="D71" i="3"/>
  <c r="L71" i="3" s="1"/>
  <c r="B71" i="3"/>
  <c r="Z70" i="3"/>
  <c r="X70" i="3"/>
  <c r="P70" i="3"/>
  <c r="N70" i="3"/>
  <c r="L70" i="3"/>
  <c r="D70" i="3"/>
  <c r="B70" i="3"/>
  <c r="Z69" i="3"/>
  <c r="X69" i="3"/>
  <c r="P69" i="3"/>
  <c r="N69" i="3"/>
  <c r="L69" i="3"/>
  <c r="D69" i="3"/>
  <c r="B69" i="3"/>
  <c r="Z68" i="3"/>
  <c r="P68" i="3"/>
  <c r="X68" i="3" s="1"/>
  <c r="N68" i="3"/>
  <c r="D68" i="3"/>
  <c r="L68" i="3" s="1"/>
  <c r="B68" i="3"/>
  <c r="Z67" i="3"/>
  <c r="P67" i="3"/>
  <c r="X67" i="3" s="1"/>
  <c r="N67" i="3"/>
  <c r="L67" i="3"/>
  <c r="D67" i="3"/>
  <c r="B67" i="3"/>
  <c r="Z66" i="3"/>
  <c r="X66" i="3"/>
  <c r="P66" i="3"/>
  <c r="N66" i="3"/>
  <c r="L66" i="3"/>
  <c r="D66" i="3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D64" i="3"/>
  <c r="L64" i="3" s="1"/>
  <c r="B64" i="3"/>
  <c r="Z63" i="3"/>
  <c r="P63" i="3"/>
  <c r="X63" i="3" s="1"/>
  <c r="N63" i="3"/>
  <c r="L63" i="3"/>
  <c r="D63" i="3"/>
  <c r="B63" i="3"/>
  <c r="Z62" i="3"/>
  <c r="P62" i="3"/>
  <c r="X62" i="3" s="1"/>
  <c r="N62" i="3"/>
  <c r="D62" i="3"/>
  <c r="L62" i="3" s="1"/>
  <c r="B62" i="3"/>
  <c r="Z61" i="3"/>
  <c r="X61" i="3"/>
  <c r="P61" i="3"/>
  <c r="N61" i="3"/>
  <c r="D61" i="3"/>
  <c r="L61" i="3" s="1"/>
  <c r="B61" i="3"/>
  <c r="Z60" i="3"/>
  <c r="X60" i="3"/>
  <c r="P60" i="3"/>
  <c r="N60" i="3"/>
  <c r="D60" i="3"/>
  <c r="L60" i="3" s="1"/>
  <c r="B60" i="3"/>
  <c r="Z59" i="3"/>
  <c r="P59" i="3"/>
  <c r="X59" i="3" s="1"/>
  <c r="N59" i="3"/>
  <c r="D59" i="3"/>
  <c r="L59" i="3" s="1"/>
  <c r="B59" i="3"/>
  <c r="Z58" i="3"/>
  <c r="X58" i="3"/>
  <c r="P58" i="3"/>
  <c r="N58" i="3"/>
  <c r="L58" i="3"/>
  <c r="D58" i="3"/>
  <c r="B58" i="3"/>
  <c r="Z57" i="3"/>
  <c r="X57" i="3"/>
  <c r="P57" i="3"/>
  <c r="N57" i="3"/>
  <c r="L57" i="3"/>
  <c r="D57" i="3"/>
  <c r="B57" i="3"/>
  <c r="Z56" i="3"/>
  <c r="P56" i="3"/>
  <c r="X56" i="3" s="1"/>
  <c r="N56" i="3"/>
  <c r="D56" i="3"/>
  <c r="L56" i="3" s="1"/>
  <c r="B56" i="3"/>
  <c r="Z55" i="3"/>
  <c r="P55" i="3"/>
  <c r="X55" i="3" s="1"/>
  <c r="N55" i="3"/>
  <c r="L55" i="3"/>
  <c r="D55" i="3"/>
  <c r="B55" i="3"/>
  <c r="Z54" i="3"/>
  <c r="X54" i="3"/>
  <c r="P54" i="3"/>
  <c r="N54" i="3"/>
  <c r="L54" i="3"/>
  <c r="D54" i="3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D52" i="3"/>
  <c r="L52" i="3" s="1"/>
  <c r="B52" i="3"/>
  <c r="Z51" i="3"/>
  <c r="P51" i="3"/>
  <c r="X51" i="3" s="1"/>
  <c r="N51" i="3"/>
  <c r="L51" i="3"/>
  <c r="D51" i="3"/>
  <c r="B51" i="3"/>
  <c r="Z50" i="3"/>
  <c r="P50" i="3"/>
  <c r="X50" i="3" s="1"/>
  <c r="N50" i="3"/>
  <c r="D50" i="3"/>
  <c r="L50" i="3" s="1"/>
  <c r="B50" i="3"/>
  <c r="Z49" i="3"/>
  <c r="X49" i="3"/>
  <c r="P49" i="3"/>
  <c r="N49" i="3"/>
  <c r="D49" i="3"/>
  <c r="L49" i="3" s="1"/>
  <c r="B49" i="3"/>
  <c r="Z48" i="3"/>
  <c r="X48" i="3"/>
  <c r="P48" i="3"/>
  <c r="N48" i="3"/>
  <c r="D48" i="3"/>
  <c r="L48" i="3" s="1"/>
  <c r="B48" i="3"/>
  <c r="Z47" i="3"/>
  <c r="P47" i="3"/>
  <c r="X47" i="3" s="1"/>
  <c r="N47" i="3"/>
  <c r="D47" i="3"/>
  <c r="L47" i="3" s="1"/>
  <c r="B47" i="3"/>
  <c r="Z46" i="3"/>
  <c r="X46" i="3"/>
  <c r="P46" i="3"/>
  <c r="N46" i="3"/>
  <c r="L46" i="3"/>
  <c r="D46" i="3"/>
  <c r="B46" i="3"/>
  <c r="Z45" i="3"/>
  <c r="X45" i="3"/>
  <c r="P45" i="3"/>
  <c r="N45" i="3"/>
  <c r="L45" i="3"/>
  <c r="D45" i="3"/>
  <c r="B45" i="3"/>
  <c r="Z44" i="3"/>
  <c r="P44" i="3"/>
  <c r="X44" i="3" s="1"/>
  <c r="N44" i="3"/>
  <c r="D44" i="3"/>
  <c r="L44" i="3" s="1"/>
  <c r="B44" i="3"/>
  <c r="Z43" i="3"/>
  <c r="P43" i="3"/>
  <c r="X43" i="3" s="1"/>
  <c r="N43" i="3"/>
  <c r="L43" i="3"/>
  <c r="D43" i="3"/>
  <c r="B43" i="3"/>
  <c r="Z42" i="3"/>
  <c r="X42" i="3"/>
  <c r="P42" i="3"/>
  <c r="L42" i="3"/>
  <c r="N42" i="3" s="1"/>
  <c r="D42" i="3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D40" i="3"/>
  <c r="L40" i="3" s="1"/>
  <c r="B40" i="3"/>
  <c r="Z39" i="3"/>
  <c r="P39" i="3"/>
  <c r="X39" i="3" s="1"/>
  <c r="N39" i="3"/>
  <c r="L39" i="3"/>
  <c r="D39" i="3"/>
  <c r="B39" i="3"/>
  <c r="Z38" i="3"/>
  <c r="P38" i="3"/>
  <c r="X38" i="3" s="1"/>
  <c r="N38" i="3"/>
  <c r="D38" i="3"/>
  <c r="L38" i="3" s="1"/>
  <c r="B38" i="3"/>
  <c r="Z37" i="3"/>
  <c r="X37" i="3"/>
  <c r="P37" i="3"/>
  <c r="N37" i="3"/>
  <c r="D37" i="3"/>
  <c r="L37" i="3" s="1"/>
  <c r="B37" i="3"/>
  <c r="Z36" i="3"/>
  <c r="X36" i="3"/>
  <c r="P36" i="3"/>
  <c r="N36" i="3"/>
  <c r="D36" i="3"/>
  <c r="L36" i="3" s="1"/>
  <c r="B36" i="3"/>
  <c r="Z35" i="3"/>
  <c r="P35" i="3"/>
  <c r="X35" i="3" s="1"/>
  <c r="N35" i="3"/>
  <c r="D35" i="3"/>
  <c r="L35" i="3" s="1"/>
  <c r="B35" i="3"/>
  <c r="Z34" i="3"/>
  <c r="X34" i="3"/>
  <c r="P34" i="3"/>
  <c r="N34" i="3"/>
  <c r="L34" i="3"/>
  <c r="D34" i="3"/>
  <c r="B34" i="3"/>
  <c r="Z33" i="3"/>
  <c r="X33" i="3"/>
  <c r="P33" i="3"/>
  <c r="N33" i="3"/>
  <c r="L33" i="3"/>
  <c r="D33" i="3"/>
  <c r="B33" i="3"/>
  <c r="Z32" i="3"/>
  <c r="P32" i="3"/>
  <c r="X32" i="3" s="1"/>
  <c r="N32" i="3"/>
  <c r="D32" i="3"/>
  <c r="L32" i="3" s="1"/>
  <c r="B32" i="3"/>
  <c r="Z31" i="3"/>
  <c r="P31" i="3"/>
  <c r="X31" i="3" s="1"/>
  <c r="N31" i="3"/>
  <c r="L31" i="3"/>
  <c r="D31" i="3"/>
  <c r="B31" i="3"/>
  <c r="Z30" i="3"/>
  <c r="X30" i="3"/>
  <c r="P30" i="3"/>
  <c r="N30" i="3"/>
  <c r="L30" i="3"/>
  <c r="D30" i="3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D28" i="3"/>
  <c r="L28" i="3" s="1"/>
  <c r="B28" i="3"/>
  <c r="Z27" i="3"/>
  <c r="P27" i="3"/>
  <c r="X27" i="3" s="1"/>
  <c r="N27" i="3"/>
  <c r="L27" i="3"/>
  <c r="D27" i="3"/>
  <c r="B27" i="3"/>
  <c r="Z26" i="3"/>
  <c r="P26" i="3"/>
  <c r="X26" i="3" s="1"/>
  <c r="N26" i="3"/>
  <c r="D26" i="3"/>
  <c r="L26" i="3" s="1"/>
  <c r="B26" i="3"/>
  <c r="Z25" i="3"/>
  <c r="X25" i="3"/>
  <c r="P25" i="3"/>
  <c r="N25" i="3"/>
  <c r="D25" i="3"/>
  <c r="L25" i="3" s="1"/>
  <c r="B25" i="3"/>
  <c r="Z24" i="3"/>
  <c r="X24" i="3"/>
  <c r="P24" i="3"/>
  <c r="N24" i="3"/>
  <c r="D24" i="3"/>
  <c r="L24" i="3" s="1"/>
  <c r="B24" i="3"/>
  <c r="Z23" i="3"/>
  <c r="P23" i="3"/>
  <c r="X23" i="3" s="1"/>
  <c r="N23" i="3"/>
  <c r="D23" i="3"/>
  <c r="L23" i="3" s="1"/>
  <c r="B23" i="3"/>
  <c r="Z22" i="3"/>
  <c r="X22" i="3"/>
  <c r="P22" i="3"/>
  <c r="N22" i="3"/>
  <c r="L22" i="3"/>
  <c r="D22" i="3"/>
  <c r="B22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P19" i="3"/>
  <c r="X19" i="3" s="1"/>
  <c r="N19" i="3"/>
  <c r="L19" i="3"/>
  <c r="D19" i="3"/>
  <c r="B19" i="3"/>
  <c r="Z18" i="3"/>
  <c r="X18" i="3"/>
  <c r="P18" i="3"/>
  <c r="N18" i="3"/>
  <c r="L18" i="3"/>
  <c r="D18" i="3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D16" i="3"/>
  <c r="L16" i="3" s="1"/>
  <c r="B16" i="3"/>
  <c r="Z15" i="3"/>
  <c r="P15" i="3"/>
  <c r="P12" i="3" s="1"/>
  <c r="N15" i="3"/>
  <c r="L15" i="3"/>
  <c r="D15" i="3"/>
  <c r="B15" i="3"/>
  <c r="Z14" i="3"/>
  <c r="P14" i="3"/>
  <c r="X14" i="3" s="1"/>
  <c r="N14" i="3"/>
  <c r="D14" i="3"/>
  <c r="L14" i="3" s="1"/>
  <c r="B14" i="3"/>
  <c r="X13" i="3"/>
  <c r="Z13" i="3" s="1"/>
  <c r="P13" i="3"/>
  <c r="D13" i="3"/>
  <c r="D12" i="3" s="1"/>
  <c r="B13" i="3"/>
  <c r="T12" i="3"/>
  <c r="V154" i="3" s="1"/>
  <c r="H12" i="3"/>
  <c r="J206" i="3" s="1"/>
  <c r="D4" i="3"/>
  <c r="H13" i="112"/>
  <c r="D33" i="112"/>
  <c r="P21" i="110"/>
  <c r="H22" i="111"/>
  <c r="D29" i="111"/>
  <c r="D20" i="112"/>
  <c r="D5" i="110"/>
  <c r="D34" i="110"/>
  <c r="D16" i="111"/>
  <c r="T34" i="111"/>
  <c r="T20" i="112"/>
  <c r="T15" i="112"/>
  <c r="P33" i="111"/>
  <c r="P25" i="110"/>
  <c r="T29" i="110"/>
  <c r="B21" i="53"/>
  <c r="T25" i="52"/>
  <c r="P34" i="52"/>
  <c r="T16" i="52"/>
  <c r="H20" i="53"/>
  <c r="H24" i="52"/>
  <c r="D20" i="47"/>
  <c r="P22" i="49"/>
  <c r="P16" i="50"/>
  <c r="H29" i="50"/>
  <c r="H33" i="53"/>
  <c r="H25" i="49"/>
  <c r="H21" i="50"/>
  <c r="P22" i="46"/>
  <c r="H20" i="50"/>
  <c r="B22" i="50"/>
  <c r="D21" i="49"/>
  <c r="P29" i="50"/>
  <c r="H20" i="46"/>
  <c r="D25" i="46"/>
  <c r="D29" i="43"/>
  <c r="T12" i="47"/>
  <c r="H16" i="43"/>
  <c r="D21" i="43"/>
  <c r="P16" i="46"/>
  <c r="B38" i="41"/>
  <c r="T22" i="44"/>
  <c r="T33" i="46"/>
  <c r="P12" i="43"/>
  <c r="P24" i="44"/>
  <c r="D16" i="49"/>
  <c r="H12" i="44"/>
  <c r="B39" i="46"/>
  <c r="H12" i="43"/>
  <c r="D5" i="44"/>
  <c r="H24" i="47"/>
  <c r="D13" i="44"/>
  <c r="P15" i="41"/>
  <c r="B39" i="37"/>
  <c r="D4" i="41"/>
  <c r="D13" i="41"/>
  <c r="H20" i="37"/>
  <c r="B21" i="38"/>
  <c r="D24" i="40"/>
  <c r="P12" i="38"/>
  <c r="D16" i="41"/>
  <c r="T22" i="37"/>
  <c r="D15" i="40"/>
  <c r="P34" i="46"/>
  <c r="P22" i="37"/>
  <c r="P33" i="40"/>
  <c r="T29" i="47"/>
  <c r="H13" i="38"/>
  <c r="D33" i="35"/>
  <c r="P12" i="32"/>
  <c r="B25" i="35"/>
  <c r="D13" i="34"/>
  <c r="D29" i="37"/>
  <c r="T20" i="32"/>
  <c r="B21" i="35"/>
  <c r="T20" i="31"/>
  <c r="H22" i="28"/>
  <c r="B21" i="34"/>
  <c r="H21" i="37"/>
  <c r="H33" i="32"/>
  <c r="B21" i="37"/>
  <c r="H13" i="32"/>
  <c r="P22" i="35"/>
  <c r="D29" i="32"/>
  <c r="T25" i="29"/>
  <c r="D25" i="37"/>
  <c r="D24" i="32"/>
  <c r="T24" i="29"/>
  <c r="P20" i="35"/>
  <c r="D22" i="31"/>
  <c r="P24" i="40"/>
  <c r="H34" i="34"/>
  <c r="T12" i="32"/>
  <c r="T13" i="28"/>
  <c r="H13" i="26"/>
  <c r="D25" i="23"/>
  <c r="P16" i="29"/>
  <c r="H24" i="25"/>
  <c r="D33" i="22"/>
  <c r="D24" i="26"/>
  <c r="B22" i="23"/>
  <c r="B25" i="28"/>
  <c r="D20" i="23"/>
  <c r="B21" i="26"/>
  <c r="T12" i="23"/>
  <c r="B16" i="26"/>
  <c r="D5" i="112"/>
  <c r="D29" i="112"/>
  <c r="T15" i="110"/>
  <c r="H13" i="111"/>
  <c r="D25" i="111"/>
  <c r="D16" i="112"/>
  <c r="T34" i="112"/>
  <c r="D33" i="110"/>
  <c r="B25" i="110"/>
  <c r="T33" i="111"/>
  <c r="T16" i="112"/>
  <c r="P34" i="111"/>
  <c r="P25" i="111"/>
  <c r="H12" i="112"/>
  <c r="D6" i="112"/>
  <c r="D20" i="53"/>
  <c r="B16" i="52"/>
  <c r="P33" i="52"/>
  <c r="T13" i="52"/>
  <c r="H16" i="53"/>
  <c r="P24" i="50"/>
  <c r="D16" i="47"/>
  <c r="T20" i="49"/>
  <c r="D12" i="50"/>
  <c r="H25" i="50"/>
  <c r="T12" i="53"/>
  <c r="P15" i="49"/>
  <c r="D13" i="50"/>
  <c r="T20" i="46"/>
  <c r="H16" i="50"/>
  <c r="D21" i="50"/>
  <c r="H15" i="49"/>
  <c r="P25" i="50"/>
  <c r="H16" i="46"/>
  <c r="T22" i="46"/>
  <c r="D25" i="43"/>
  <c r="H34" i="46"/>
  <c r="B13" i="43"/>
  <c r="H15" i="43"/>
  <c r="P12" i="46"/>
  <c r="D34" i="41"/>
  <c r="P12" i="44"/>
  <c r="T25" i="46"/>
  <c r="T33" i="50"/>
  <c r="P22" i="44"/>
  <c r="T20" i="47"/>
  <c r="P24" i="43"/>
  <c r="T34" i="46"/>
  <c r="T24" i="41"/>
  <c r="P20" i="43"/>
  <c r="D13" i="47"/>
  <c r="B39" i="43"/>
  <c r="D5" i="41"/>
  <c r="H24" i="37"/>
  <c r="H34" i="40"/>
  <c r="D12" i="111"/>
  <c r="P24" i="110"/>
  <c r="D4" i="112"/>
  <c r="D24" i="112"/>
  <c r="D12" i="110"/>
  <c r="H34" i="110"/>
  <c r="H20" i="111"/>
  <c r="B16" i="112"/>
  <c r="D13" i="110"/>
  <c r="H16" i="110"/>
  <c r="D15" i="111"/>
  <c r="P12" i="111"/>
  <c r="H34" i="112"/>
  <c r="P20" i="112"/>
  <c r="T24" i="110"/>
  <c r="H15" i="53"/>
  <c r="H15" i="52"/>
  <c r="P33" i="53"/>
  <c r="P21" i="53"/>
  <c r="P21" i="52"/>
  <c r="D33" i="52"/>
  <c r="T13" i="50"/>
  <c r="P20" i="52"/>
  <c r="D29" i="53"/>
  <c r="H12" i="49"/>
  <c r="P16" i="49"/>
  <c r="H24" i="50"/>
  <c r="H22" i="52"/>
  <c r="H13" i="49"/>
  <c r="D33" i="53"/>
  <c r="D33" i="49"/>
  <c r="P15" i="53"/>
  <c r="T21" i="53"/>
  <c r="P12" i="49"/>
  <c r="H20" i="49"/>
  <c r="D22" i="44"/>
  <c r="T34" i="49"/>
  <c r="B22" i="44"/>
  <c r="P16" i="47"/>
  <c r="B39" i="47"/>
  <c r="T25" i="44"/>
  <c r="B38" i="47"/>
  <c r="T25" i="43"/>
  <c r="P34" i="44"/>
  <c r="D34" i="47"/>
  <c r="P34" i="43"/>
  <c r="P33" i="46"/>
  <c r="T13" i="43"/>
  <c r="D4" i="46"/>
  <c r="B38" i="46"/>
  <c r="P33" i="41"/>
  <c r="H13" i="46"/>
  <c r="D4" i="43"/>
  <c r="B38" i="38"/>
  <c r="H24" i="44"/>
  <c r="P15" i="40"/>
  <c r="D4" i="40"/>
  <c r="B38" i="40"/>
  <c r="H15" i="37"/>
  <c r="B39" i="44"/>
  <c r="B16" i="37"/>
  <c r="D16" i="40"/>
  <c r="B16" i="41"/>
  <c r="T16" i="38"/>
  <c r="T22" i="40"/>
  <c r="D4" i="44"/>
  <c r="P16" i="38"/>
  <c r="P21" i="40"/>
  <c r="H25" i="37"/>
  <c r="B39" i="34"/>
  <c r="B16" i="31"/>
  <c r="B13" i="35"/>
  <c r="T21" i="32"/>
  <c r="D24" i="34"/>
  <c r="P29" i="31"/>
  <c r="H15" i="34"/>
  <c r="D33" i="29"/>
  <c r="T34" i="35"/>
  <c r="D12" i="32"/>
  <c r="T33" i="34"/>
  <c r="P20" i="31"/>
  <c r="T21" i="35"/>
  <c r="H25" i="31"/>
  <c r="P33" i="34"/>
  <c r="H24" i="31"/>
  <c r="D20" i="28"/>
  <c r="H12" i="35"/>
  <c r="B38" i="31"/>
  <c r="T29" i="28"/>
  <c r="P13" i="34"/>
  <c r="P33" i="29"/>
  <c r="D24" i="38"/>
  <c r="D5" i="34"/>
  <c r="T15" i="29"/>
  <c r="H15" i="29"/>
  <c r="H25" i="25"/>
  <c r="H22" i="22"/>
  <c r="D34" i="26"/>
  <c r="D24" i="23"/>
  <c r="H20" i="29"/>
  <c r="B38" i="25"/>
  <c r="D22" i="22"/>
  <c r="B25" i="25"/>
  <c r="D21" i="31"/>
  <c r="H15" i="25"/>
  <c r="H13" i="29"/>
  <c r="D16" i="25"/>
  <c r="P22" i="110"/>
  <c r="H34" i="111"/>
  <c r="D22" i="112"/>
  <c r="B22" i="112"/>
  <c r="H33" i="110"/>
  <c r="H16" i="111"/>
  <c r="D15" i="112"/>
  <c r="D4" i="110"/>
  <c r="B13" i="110"/>
  <c r="T12" i="111"/>
  <c r="B21" i="110"/>
  <c r="P15" i="112"/>
  <c r="T20" i="111"/>
  <c r="P12" i="110"/>
  <c r="B25" i="52"/>
  <c r="T24" i="53"/>
  <c r="P29" i="53"/>
  <c r="T15" i="53"/>
  <c r="T15" i="52"/>
  <c r="D29" i="52"/>
  <c r="P34" i="49"/>
  <c r="P12" i="52"/>
  <c r="H21" i="53"/>
  <c r="T33" i="53"/>
  <c r="D12" i="49"/>
  <c r="H22" i="50"/>
  <c r="P15" i="52"/>
  <c r="D4" i="49"/>
  <c r="B16" i="53"/>
  <c r="D29" i="49"/>
  <c r="B39" i="52"/>
  <c r="D15" i="53"/>
  <c r="B22" i="47"/>
  <c r="B13" i="49"/>
  <c r="H20" i="44"/>
  <c r="D20" i="49"/>
  <c r="D21" i="44"/>
  <c r="P12" i="47"/>
  <c r="D29" i="47"/>
  <c r="B16" i="44"/>
  <c r="H34" i="47"/>
  <c r="B16" i="43"/>
  <c r="P33" i="44"/>
  <c r="B25" i="47"/>
  <c r="P33" i="43"/>
  <c r="P25" i="46"/>
  <c r="T12" i="50"/>
  <c r="P20" i="44"/>
  <c r="P20" i="46"/>
  <c r="P29" i="41"/>
  <c r="B38" i="44"/>
  <c r="H25" i="46"/>
  <c r="D34" i="38"/>
  <c r="D5" i="43"/>
  <c r="D5" i="40"/>
  <c r="B22" i="38"/>
  <c r="D34" i="40"/>
  <c r="H25" i="43"/>
  <c r="P24" i="41"/>
  <c r="D15" i="37"/>
  <c r="P34" i="38"/>
  <c r="P12" i="41"/>
  <c r="T13" i="38"/>
  <c r="P12" i="40"/>
  <c r="T33" i="41"/>
  <c r="D12" i="38"/>
  <c r="T15" i="40"/>
  <c r="P15" i="37"/>
  <c r="H24" i="34"/>
  <c r="D15" i="31"/>
  <c r="B38" i="34"/>
  <c r="T24" i="31"/>
  <c r="D22" i="34"/>
  <c r="P25" i="31"/>
  <c r="P21" i="32"/>
  <c r="D29" i="29"/>
  <c r="T33" i="35"/>
  <c r="P21" i="31"/>
  <c r="T29" i="34"/>
  <c r="P16" i="31"/>
  <c r="T24" i="34"/>
  <c r="P15" i="31"/>
  <c r="P29" i="34"/>
  <c r="H22" i="31"/>
  <c r="D16" i="28"/>
  <c r="P24" i="34"/>
  <c r="D34" i="31"/>
  <c r="T25" i="28"/>
  <c r="H12" i="34"/>
  <c r="P29" i="29"/>
  <c r="B38" i="37"/>
  <c r="T34" i="32"/>
  <c r="P13" i="29"/>
  <c r="D4" i="29"/>
  <c r="P15" i="25"/>
  <c r="H13" i="22"/>
  <c r="D33" i="26"/>
  <c r="D22" i="23"/>
  <c r="T13" i="29"/>
  <c r="D34" i="25"/>
  <c r="H20" i="22"/>
  <c r="D24" i="25"/>
  <c r="H33" i="29"/>
  <c r="T34" i="23"/>
  <c r="D22" i="28"/>
  <c r="T24" i="23"/>
  <c r="T20" i="110"/>
  <c r="H33" i="111"/>
  <c r="H20" i="112"/>
  <c r="D21" i="112"/>
  <c r="H29" i="110"/>
  <c r="B13" i="111"/>
  <c r="T12" i="112"/>
  <c r="T24" i="112"/>
  <c r="P34" i="112"/>
  <c r="B22" i="110"/>
  <c r="D20" i="110"/>
  <c r="P21" i="111"/>
  <c r="T13" i="111"/>
  <c r="P16" i="112"/>
  <c r="D24" i="52"/>
  <c r="T22" i="53"/>
  <c r="P24" i="53"/>
  <c r="P13" i="53"/>
  <c r="P13" i="52"/>
  <c r="D25" i="52"/>
  <c r="P33" i="49"/>
  <c r="P21" i="50"/>
  <c r="H13" i="53"/>
  <c r="H24" i="53"/>
  <c r="P34" i="47"/>
  <c r="H13" i="50"/>
  <c r="B38" i="50"/>
  <c r="P21" i="47"/>
  <c r="D5" i="53"/>
  <c r="D25" i="49"/>
  <c r="H29" i="52"/>
  <c r="B21" i="52"/>
  <c r="D21" i="47"/>
  <c r="T25" i="47"/>
  <c r="H16" i="44"/>
  <c r="T34" i="47"/>
  <c r="H15" i="44"/>
  <c r="T12" i="46"/>
  <c r="H25" i="47"/>
  <c r="D15" i="44"/>
  <c r="P22" i="47"/>
  <c r="D15" i="43"/>
  <c r="P29" i="44"/>
  <c r="H22" i="47"/>
  <c r="P29" i="43"/>
  <c r="D16" i="46"/>
  <c r="B16" i="49"/>
  <c r="P16" i="44"/>
  <c r="H34" i="44"/>
  <c r="P25" i="41"/>
  <c r="D34" i="44"/>
  <c r="H33" i="43"/>
  <c r="D33" i="38"/>
  <c r="B39" i="41"/>
  <c r="T21" i="46"/>
  <c r="D21" i="38"/>
  <c r="D33" i="40"/>
  <c r="H34" i="41"/>
  <c r="B22" i="40"/>
  <c r="T12" i="37"/>
  <c r="P33" i="38"/>
  <c r="T34" i="40"/>
  <c r="P34" i="37"/>
  <c r="P21" i="38"/>
  <c r="H24" i="41"/>
  <c r="P21" i="37"/>
  <c r="P13" i="40"/>
  <c r="D5" i="37"/>
  <c r="H22" i="34"/>
  <c r="T12" i="31"/>
  <c r="D34" i="34"/>
  <c r="T22" i="31"/>
  <c r="H20" i="34"/>
  <c r="T21" i="31"/>
  <c r="T15" i="32"/>
  <c r="D25" i="29"/>
  <c r="T29" i="35"/>
  <c r="T15" i="31"/>
  <c r="T25" i="34"/>
  <c r="D12" i="31"/>
  <c r="T22" i="34"/>
  <c r="D5" i="31"/>
  <c r="P25" i="34"/>
  <c r="H13" i="31"/>
  <c r="B22" i="41"/>
  <c r="P22" i="34"/>
  <c r="D33" i="31"/>
  <c r="B16" i="28"/>
  <c r="B22" i="32"/>
  <c r="P25" i="29"/>
  <c r="B39" i="35"/>
  <c r="T33" i="32"/>
  <c r="H12" i="29"/>
  <c r="D29" i="28"/>
  <c r="D5" i="25"/>
  <c r="D4" i="22"/>
  <c r="D29" i="26"/>
  <c r="H20" i="23"/>
  <c r="H34" i="28"/>
  <c r="D33" i="25"/>
  <c r="H16" i="22"/>
  <c r="D22" i="25"/>
  <c r="H24" i="29"/>
  <c r="T33" i="23"/>
  <c r="H15" i="28"/>
  <c r="T22" i="23"/>
  <c r="T16" i="110"/>
  <c r="H29" i="111"/>
  <c r="H16" i="112"/>
  <c r="H15" i="112"/>
  <c r="H25" i="110"/>
  <c r="B39" i="110"/>
  <c r="B22" i="111"/>
  <c r="T22" i="112"/>
  <c r="P33" i="112"/>
  <c r="D21" i="110"/>
  <c r="D16" i="110"/>
  <c r="T15" i="111"/>
  <c r="H33" i="112"/>
  <c r="P22" i="111"/>
  <c r="D22" i="52"/>
  <c r="P12" i="53"/>
  <c r="P22" i="53"/>
  <c r="H12" i="53"/>
  <c r="H12" i="52"/>
  <c r="H21" i="52"/>
  <c r="P29" i="49"/>
  <c r="T15" i="50"/>
  <c r="T22" i="52"/>
  <c r="D13" i="53"/>
  <c r="P33" i="47"/>
  <c r="D4" i="50"/>
  <c r="D34" i="50"/>
  <c r="T15" i="47"/>
  <c r="H25" i="52"/>
  <c r="H21" i="49"/>
  <c r="B21" i="50"/>
  <c r="P16" i="52"/>
  <c r="H15" i="47"/>
  <c r="H20" i="47"/>
  <c r="B13" i="44"/>
  <c r="D33" i="47"/>
  <c r="B25" i="43"/>
  <c r="B21" i="44"/>
  <c r="T22" i="47"/>
  <c r="T12" i="44"/>
  <c r="D15" i="47"/>
  <c r="T12" i="43"/>
  <c r="P25" i="44"/>
  <c r="H16" i="47"/>
  <c r="P25" i="43"/>
  <c r="D5" i="46"/>
  <c r="T33" i="47"/>
  <c r="D12" i="44"/>
  <c r="H33" i="44"/>
  <c r="T21" i="41"/>
  <c r="D33" i="44"/>
  <c r="H33" i="41"/>
  <c r="D29" i="38"/>
  <c r="T34" i="41"/>
  <c r="H22" i="44"/>
  <c r="H15" i="38"/>
  <c r="D29" i="40"/>
  <c r="H29" i="41"/>
  <c r="D21" i="40"/>
  <c r="H13" i="47"/>
  <c r="P29" i="38"/>
  <c r="T33" i="40"/>
  <c r="P33" i="37"/>
  <c r="T15" i="38"/>
  <c r="D22" i="41"/>
  <c r="T15" i="37"/>
  <c r="H12" i="40"/>
  <c r="T15" i="41"/>
  <c r="H13" i="34"/>
  <c r="P13" i="41"/>
  <c r="D33" i="34"/>
  <c r="P12" i="31"/>
  <c r="H16" i="34"/>
  <c r="T16" i="40"/>
  <c r="P13" i="32"/>
  <c r="H21" i="29"/>
  <c r="T25" i="35"/>
  <c r="P13" i="31"/>
  <c r="B16" i="34"/>
  <c r="H25" i="41"/>
  <c r="P12" i="34"/>
  <c r="H33" i="38"/>
  <c r="T21" i="34"/>
  <c r="D4" i="31"/>
  <c r="B25" i="38"/>
  <c r="T20" i="34"/>
  <c r="D29" i="31"/>
  <c r="D15" i="28"/>
  <c r="D21" i="32"/>
  <c r="T21" i="29"/>
  <c r="H24" i="35"/>
  <c r="T29" i="32"/>
  <c r="P24" i="28"/>
  <c r="T15" i="28"/>
  <c r="B38" i="23"/>
  <c r="D12" i="34"/>
  <c r="D25" i="26"/>
  <c r="H16" i="23"/>
  <c r="D25" i="28"/>
  <c r="D29" i="25"/>
  <c r="B13" i="22"/>
  <c r="H20" i="25"/>
  <c r="D20" i="29"/>
  <c r="T29" i="23"/>
  <c r="T34" i="26"/>
  <c r="P12" i="23"/>
  <c r="H24" i="112"/>
  <c r="B38" i="112"/>
  <c r="P15" i="111"/>
  <c r="B39" i="111"/>
  <c r="D34" i="111"/>
  <c r="D6" i="110"/>
  <c r="H22" i="110"/>
  <c r="H15" i="111"/>
  <c r="B21" i="111"/>
  <c r="P25" i="112"/>
  <c r="P24" i="112"/>
  <c r="P29" i="110"/>
  <c r="T21" i="110"/>
  <c r="P13" i="111"/>
  <c r="T22" i="110"/>
  <c r="H16" i="52"/>
  <c r="T33" i="52"/>
  <c r="T16" i="53"/>
  <c r="P22" i="52"/>
  <c r="D24" i="53"/>
  <c r="H34" i="53"/>
  <c r="T21" i="49"/>
  <c r="H12" i="50"/>
  <c r="D12" i="52"/>
  <c r="H34" i="50"/>
  <c r="P25" i="47"/>
  <c r="H33" i="49"/>
  <c r="D29" i="50"/>
  <c r="H12" i="47"/>
  <c r="D24" i="50"/>
  <c r="T25" i="53"/>
  <c r="D16" i="50"/>
  <c r="P34" i="50"/>
  <c r="D24" i="46"/>
  <c r="B13" i="47"/>
  <c r="D34" i="43"/>
  <c r="D24" i="47"/>
  <c r="D22" i="43"/>
  <c r="D16" i="44"/>
  <c r="T24" i="46"/>
  <c r="D20" i="43"/>
  <c r="B21" i="46"/>
  <c r="D25" i="47"/>
  <c r="T24" i="43"/>
  <c r="D29" i="46"/>
  <c r="T22" i="50"/>
  <c r="T15" i="44"/>
  <c r="D22" i="47"/>
  <c r="T15" i="43"/>
  <c r="H25" i="44"/>
  <c r="D15" i="49"/>
  <c r="D25" i="44"/>
  <c r="T20" i="41"/>
  <c r="H21" i="38"/>
  <c r="B25" i="41"/>
  <c r="P21" i="41"/>
  <c r="D24" i="37"/>
  <c r="H21" i="40"/>
  <c r="H15" i="41"/>
  <c r="T24" i="38"/>
  <c r="H21" i="41"/>
  <c r="T21" i="38"/>
  <c r="T25" i="40"/>
  <c r="P25" i="37"/>
  <c r="H12" i="38"/>
  <c r="T13" i="41"/>
  <c r="H12" i="37"/>
  <c r="H24" i="38"/>
  <c r="B38" i="35"/>
  <c r="T24" i="32"/>
  <c r="H29" i="38"/>
  <c r="D25" i="34"/>
  <c r="D22" i="38"/>
  <c r="P24" i="32"/>
  <c r="B16" i="38"/>
  <c r="P24" i="31"/>
  <c r="B39" i="28"/>
  <c r="D15" i="35"/>
  <c r="T13" i="40"/>
  <c r="T12" i="34"/>
  <c r="T25" i="38"/>
  <c r="H24" i="32"/>
  <c r="P20" i="37"/>
  <c r="D34" i="32"/>
  <c r="T33" i="29"/>
  <c r="B13" i="38"/>
  <c r="T13" i="34"/>
  <c r="H21" i="31"/>
  <c r="T12" i="38"/>
  <c r="B25" i="31"/>
  <c r="T22" i="28"/>
  <c r="H13" i="35"/>
  <c r="B16" i="32"/>
  <c r="T20" i="28"/>
  <c r="H24" i="26"/>
  <c r="D33" i="23"/>
  <c r="P24" i="29"/>
  <c r="D13" i="26"/>
  <c r="B38" i="22"/>
  <c r="H12" i="28"/>
  <c r="H21" i="25"/>
  <c r="B22" i="31"/>
  <c r="B13" i="25"/>
  <c r="P20" i="111"/>
  <c r="B13" i="112"/>
  <c r="B25" i="111"/>
  <c r="H21" i="110"/>
  <c r="P22" i="112"/>
  <c r="T25" i="110"/>
  <c r="H20" i="52"/>
  <c r="P29" i="52"/>
  <c r="D34" i="52"/>
  <c r="P24" i="49"/>
  <c r="D5" i="50"/>
  <c r="D33" i="50"/>
  <c r="B13" i="50"/>
  <c r="D25" i="53"/>
  <c r="D33" i="46"/>
  <c r="D20" i="46"/>
  <c r="D34" i="46"/>
  <c r="T34" i="43"/>
  <c r="H16" i="49"/>
  <c r="P13" i="44"/>
  <c r="P12" i="50"/>
  <c r="D29" i="44"/>
  <c r="H22" i="37"/>
  <c r="H22" i="40"/>
  <c r="B22" i="37"/>
  <c r="T29" i="37"/>
  <c r="T25" i="41"/>
  <c r="D20" i="41"/>
  <c r="T21" i="40"/>
  <c r="H33" i="37"/>
  <c r="T29" i="31"/>
  <c r="P29" i="32"/>
  <c r="P34" i="31"/>
  <c r="B38" i="29"/>
  <c r="P20" i="32"/>
  <c r="P15" i="32"/>
  <c r="H33" i="31"/>
  <c r="D13" i="32"/>
  <c r="T15" i="35"/>
  <c r="T34" i="28"/>
  <c r="B13" i="31"/>
  <c r="H25" i="34"/>
  <c r="D22" i="29"/>
  <c r="B39" i="22"/>
  <c r="D4" i="25"/>
  <c r="H16" i="26"/>
  <c r="D21" i="26"/>
  <c r="D16" i="26"/>
  <c r="T25" i="26"/>
  <c r="H29" i="29"/>
  <c r="T25" i="25"/>
  <c r="H34" i="35"/>
  <c r="P12" i="25"/>
  <c r="P20" i="34"/>
  <c r="P34" i="25"/>
  <c r="T16" i="22"/>
  <c r="H29" i="26"/>
  <c r="H34" i="22"/>
  <c r="T22" i="20"/>
  <c r="H20" i="17"/>
  <c r="H29" i="14"/>
  <c r="P25" i="20"/>
  <c r="H16" i="16"/>
  <c r="T16" i="20"/>
  <c r="H15" i="16"/>
  <c r="T16" i="19"/>
  <c r="B25" i="14"/>
  <c r="P13" i="19"/>
  <c r="P15" i="29"/>
  <c r="D12" i="19"/>
  <c r="B22" i="13"/>
  <c r="D4" i="20"/>
  <c r="P34" i="16"/>
  <c r="H21" i="20"/>
  <c r="P22" i="16"/>
  <c r="H20" i="20"/>
  <c r="D12" i="17"/>
  <c r="P12" i="13"/>
  <c r="B13" i="19"/>
  <c r="T20" i="14"/>
  <c r="P20" i="23"/>
  <c r="D34" i="17"/>
  <c r="P16" i="14"/>
  <c r="P33" i="11"/>
  <c r="H34" i="7"/>
  <c r="T12" i="5"/>
  <c r="H24" i="13"/>
  <c r="B38" i="8"/>
  <c r="T24" i="5"/>
  <c r="H16" i="13"/>
  <c r="D24" i="8"/>
  <c r="P34" i="5"/>
  <c r="B38" i="14"/>
  <c r="D12" i="11"/>
  <c r="H16" i="7"/>
  <c r="T15" i="26"/>
  <c r="H29" i="11"/>
  <c r="H15" i="7"/>
  <c r="D29" i="13"/>
  <c r="D5" i="10"/>
  <c r="P16" i="5"/>
  <c r="B21" i="13"/>
  <c r="H22" i="10"/>
  <c r="T12" i="7"/>
  <c r="B22" i="14"/>
  <c r="D29" i="10"/>
  <c r="B39" i="5"/>
  <c r="T34" i="14"/>
  <c r="D24" i="10"/>
  <c r="P29" i="7"/>
  <c r="H22" i="4"/>
  <c r="H15" i="10"/>
  <c r="P12" i="11"/>
  <c r="P15" i="8"/>
  <c r="P22" i="7"/>
  <c r="B25" i="5"/>
  <c r="D13" i="14"/>
  <c r="T16" i="7"/>
  <c r="D22" i="13"/>
  <c r="P16" i="111"/>
  <c r="H24" i="111"/>
  <c r="D24" i="111"/>
  <c r="P12" i="112"/>
  <c r="T13" i="112"/>
  <c r="D15" i="110"/>
  <c r="B13" i="52"/>
  <c r="P25" i="52"/>
  <c r="D13" i="52"/>
  <c r="T16" i="49"/>
  <c r="P20" i="49"/>
  <c r="D25" i="50"/>
  <c r="B38" i="49"/>
  <c r="H13" i="52"/>
  <c r="D13" i="46"/>
  <c r="P15" i="46"/>
  <c r="H21" i="46"/>
  <c r="T33" i="43"/>
  <c r="D5" i="47"/>
  <c r="P22" i="43"/>
  <c r="P24" i="47"/>
  <c r="H21" i="44"/>
  <c r="H13" i="37"/>
  <c r="H13" i="40"/>
  <c r="D21" i="37"/>
  <c r="T25" i="37"/>
  <c r="H22" i="41"/>
  <c r="T24" i="40"/>
  <c r="P20" i="38"/>
  <c r="H29" i="37"/>
  <c r="T25" i="31"/>
  <c r="P25" i="32"/>
  <c r="P33" i="31"/>
  <c r="D34" i="29"/>
  <c r="P16" i="32"/>
  <c r="D5" i="32"/>
  <c r="H29" i="31"/>
  <c r="B39" i="31"/>
  <c r="P13" i="35"/>
  <c r="T33" i="28"/>
  <c r="P34" i="29"/>
  <c r="P15" i="34"/>
  <c r="T16" i="29"/>
  <c r="H24" i="22"/>
  <c r="B25" i="23"/>
  <c r="B13" i="26"/>
  <c r="H15" i="26"/>
  <c r="B22" i="25"/>
  <c r="D15" i="26"/>
  <c r="D16" i="29"/>
  <c r="B16" i="25"/>
  <c r="P15" i="35"/>
  <c r="P24" i="23"/>
  <c r="H15" i="31"/>
  <c r="P33" i="25"/>
  <c r="T13" i="22"/>
  <c r="H25" i="26"/>
  <c r="H33" i="22"/>
  <c r="P12" i="20"/>
  <c r="H16" i="17"/>
  <c r="H25" i="14"/>
  <c r="T21" i="20"/>
  <c r="B13" i="16"/>
  <c r="T13" i="20"/>
  <c r="H29" i="35"/>
  <c r="T13" i="19"/>
  <c r="D24" i="14"/>
  <c r="H12" i="19"/>
  <c r="P20" i="26"/>
  <c r="P34" i="17"/>
  <c r="D21" i="13"/>
  <c r="H34" i="19"/>
  <c r="P33" i="16"/>
  <c r="D13" i="20"/>
  <c r="T20" i="16"/>
  <c r="H16" i="20"/>
  <c r="P21" i="16"/>
  <c r="P16" i="26"/>
  <c r="H34" i="17"/>
  <c r="T16" i="14"/>
  <c r="T34" i="20"/>
  <c r="D33" i="17"/>
  <c r="D12" i="14"/>
  <c r="P29" i="11"/>
  <c r="H33" i="7"/>
  <c r="B21" i="4"/>
  <c r="D20" i="13"/>
  <c r="D34" i="8"/>
  <c r="T22" i="5"/>
  <c r="H13" i="13"/>
  <c r="D22" i="8"/>
  <c r="P33" i="5"/>
  <c r="D33" i="14"/>
  <c r="P21" i="10"/>
  <c r="B13" i="7"/>
  <c r="D21" i="19"/>
  <c r="H25" i="11"/>
  <c r="P21" i="5"/>
  <c r="H25" i="13"/>
  <c r="T34" i="8"/>
  <c r="D12" i="5"/>
  <c r="P15" i="13"/>
  <c r="H13" i="10"/>
  <c r="H34" i="5"/>
  <c r="H20" i="14"/>
  <c r="D25" i="10"/>
  <c r="H24" i="5"/>
  <c r="T29" i="14"/>
  <c r="D22" i="10"/>
  <c r="P25" i="7"/>
  <c r="H13" i="4"/>
  <c r="D4" i="17"/>
  <c r="T34" i="10"/>
  <c r="D5" i="8"/>
  <c r="T13" i="7"/>
  <c r="H16" i="5"/>
  <c r="H15" i="5"/>
  <c r="B38" i="4"/>
  <c r="T29" i="11"/>
  <c r="D34" i="112"/>
  <c r="P20" i="110"/>
  <c r="H24" i="110"/>
  <c r="D24" i="110"/>
  <c r="T22" i="111"/>
  <c r="P33" i="110"/>
  <c r="B22" i="52"/>
  <c r="P24" i="52"/>
  <c r="P22" i="50"/>
  <c r="D34" i="53"/>
  <c r="T21" i="47"/>
  <c r="H24" i="49"/>
  <c r="D13" i="49"/>
  <c r="T21" i="50"/>
  <c r="D24" i="44"/>
  <c r="H20" i="43"/>
  <c r="T33" i="44"/>
  <c r="T24" i="50"/>
  <c r="T20" i="44"/>
  <c r="T16" i="43"/>
  <c r="P15" i="44"/>
  <c r="H22" i="43"/>
  <c r="T29" i="41"/>
  <c r="D22" i="37"/>
  <c r="B25" i="40"/>
  <c r="H20" i="41"/>
  <c r="B16" i="40"/>
  <c r="P24" i="37"/>
  <c r="B21" i="49"/>
  <c r="D34" i="35"/>
  <c r="P16" i="37"/>
  <c r="H16" i="38"/>
  <c r="D16" i="37"/>
  <c r="H24" i="28"/>
  <c r="D34" i="37"/>
  <c r="D15" i="38"/>
  <c r="P24" i="35"/>
  <c r="T29" i="29"/>
  <c r="B25" i="32"/>
  <c r="D20" i="37"/>
  <c r="P12" i="28"/>
  <c r="D15" i="32"/>
  <c r="H22" i="26"/>
  <c r="B22" i="29"/>
  <c r="D34" i="22"/>
  <c r="D13" i="25"/>
  <c r="B21" i="23"/>
  <c r="T25" i="23"/>
  <c r="B21" i="25"/>
  <c r="P33" i="28"/>
  <c r="T12" i="25"/>
  <c r="H20" i="28"/>
  <c r="T20" i="23"/>
  <c r="P22" i="29"/>
  <c r="P25" i="25"/>
  <c r="H22" i="29"/>
  <c r="D5" i="26"/>
  <c r="H25" i="22"/>
  <c r="T33" i="19"/>
  <c r="B38" i="16"/>
  <c r="D5" i="14"/>
  <c r="T22" i="19"/>
  <c r="H24" i="14"/>
  <c r="P33" i="19"/>
  <c r="P16" i="23"/>
  <c r="T33" i="17"/>
  <c r="H34" i="29"/>
  <c r="T22" i="17"/>
  <c r="H12" i="22"/>
  <c r="P29" i="17"/>
  <c r="D24" i="28"/>
  <c r="H29" i="19"/>
  <c r="P25" i="16"/>
  <c r="H24" i="19"/>
  <c r="T13" i="16"/>
  <c r="B38" i="19"/>
  <c r="P13" i="16"/>
  <c r="D12" i="23"/>
  <c r="H29" i="17"/>
  <c r="P34" i="13"/>
  <c r="T29" i="20"/>
  <c r="D25" i="17"/>
  <c r="T15" i="13"/>
  <c r="T21" i="11"/>
  <c r="H25" i="7"/>
  <c r="D16" i="4"/>
  <c r="P22" i="11"/>
  <c r="D29" i="8"/>
  <c r="T34" i="4"/>
  <c r="T15" i="11"/>
  <c r="H16" i="8"/>
  <c r="P25" i="5"/>
  <c r="H12" i="14"/>
  <c r="P13" i="10"/>
  <c r="P22" i="5"/>
  <c r="H29" i="16"/>
  <c r="D5" i="11"/>
  <c r="P13" i="5"/>
  <c r="H24" i="11"/>
  <c r="T29" i="8"/>
  <c r="T15" i="4"/>
  <c r="B38" i="11"/>
  <c r="T24" i="8"/>
  <c r="H29" i="5"/>
  <c r="B25" i="11"/>
  <c r="D13" i="10"/>
  <c r="H13" i="5"/>
  <c r="D34" i="13"/>
  <c r="H16" i="10"/>
  <c r="B38" i="5"/>
  <c r="B25" i="29"/>
  <c r="D29" i="14"/>
  <c r="T29" i="10"/>
  <c r="P16" i="7"/>
  <c r="H13" i="17"/>
  <c r="D13" i="4"/>
  <c r="H12" i="8"/>
  <c r="D15" i="11"/>
  <c r="B25" i="4"/>
  <c r="P29" i="19"/>
  <c r="P13" i="22"/>
  <c r="T29" i="17"/>
  <c r="P25" i="28"/>
  <c r="P12" i="17"/>
  <c r="H34" i="20"/>
  <c r="P25" i="17"/>
  <c r="D25" i="112"/>
  <c r="P16" i="110"/>
  <c r="H13" i="110"/>
  <c r="D22" i="110"/>
  <c r="H29" i="112"/>
  <c r="T12" i="110"/>
  <c r="D21" i="52"/>
  <c r="T20" i="52"/>
  <c r="T20" i="50"/>
  <c r="D16" i="52"/>
  <c r="D20" i="52"/>
  <c r="H22" i="49"/>
  <c r="D4" i="53"/>
  <c r="T24" i="49"/>
  <c r="B38" i="43"/>
  <c r="T25" i="50"/>
  <c r="T29" i="44"/>
  <c r="D12" i="47"/>
  <c r="T16" i="44"/>
  <c r="T24" i="47"/>
  <c r="P16" i="43"/>
  <c r="H13" i="43"/>
  <c r="H13" i="41"/>
  <c r="H16" i="37"/>
  <c r="D22" i="40"/>
  <c r="D15" i="41"/>
  <c r="T12" i="40"/>
  <c r="T20" i="37"/>
  <c r="H34" i="43"/>
  <c r="D29" i="35"/>
  <c r="D24" i="35"/>
  <c r="B22" i="35"/>
  <c r="D20" i="35"/>
  <c r="H13" i="28"/>
  <c r="T24" i="35"/>
  <c r="P34" i="35"/>
  <c r="T20" i="35"/>
  <c r="B16" i="29"/>
  <c r="D22" i="32"/>
  <c r="P16" i="35"/>
  <c r="D5" i="38"/>
  <c r="B21" i="31"/>
  <c r="D4" i="26"/>
  <c r="B38" i="28"/>
  <c r="D29" i="22"/>
  <c r="D21" i="23"/>
  <c r="D16" i="23"/>
  <c r="B16" i="23"/>
  <c r="D20" i="25"/>
  <c r="B22" i="28"/>
  <c r="P34" i="23"/>
  <c r="P13" i="28"/>
  <c r="T16" i="23"/>
  <c r="D21" i="29"/>
  <c r="T21" i="25"/>
  <c r="P20" i="29"/>
  <c r="P20" i="25"/>
  <c r="P15" i="22"/>
  <c r="T29" i="19"/>
  <c r="D34" i="16"/>
  <c r="P20" i="13"/>
  <c r="P12" i="19"/>
  <c r="H21" i="112"/>
  <c r="B38" i="111"/>
  <c r="T33" i="112"/>
  <c r="H20" i="110"/>
  <c r="P21" i="112"/>
  <c r="D12" i="112"/>
  <c r="T34" i="52"/>
  <c r="P20" i="53"/>
  <c r="T16" i="50"/>
  <c r="P20" i="50"/>
  <c r="D4" i="52"/>
  <c r="P13" i="47"/>
  <c r="H15" i="50"/>
  <c r="T22" i="49"/>
  <c r="D33" i="43"/>
  <c r="T12" i="49"/>
  <c r="B21" i="43"/>
  <c r="H22" i="46"/>
  <c r="T13" i="44"/>
  <c r="P20" i="47"/>
  <c r="D12" i="43"/>
  <c r="D25" i="41"/>
  <c r="H33" i="40"/>
  <c r="B13" i="37"/>
  <c r="H20" i="40"/>
  <c r="T12" i="41"/>
  <c r="P24" i="38"/>
  <c r="T16" i="37"/>
  <c r="P15" i="43"/>
  <c r="D25" i="35"/>
  <c r="D22" i="35"/>
  <c r="D21" i="35"/>
  <c r="D16" i="35"/>
  <c r="D4" i="28"/>
  <c r="T22" i="35"/>
  <c r="P33" i="35"/>
  <c r="T16" i="35"/>
  <c r="D15" i="29"/>
  <c r="H20" i="32"/>
  <c r="D12" i="35"/>
  <c r="D12" i="37"/>
  <c r="D20" i="31"/>
  <c r="H34" i="25"/>
  <c r="H25" i="28"/>
  <c r="D25" i="22"/>
  <c r="H15" i="23"/>
  <c r="B22" i="22"/>
  <c r="D15" i="23"/>
  <c r="T34" i="22"/>
  <c r="P16" i="28"/>
  <c r="P33" i="23"/>
  <c r="P34" i="26"/>
  <c r="T13" i="23"/>
  <c r="P29" i="28"/>
  <c r="P21" i="23"/>
  <c r="D5" i="29"/>
  <c r="P16" i="25"/>
  <c r="D5" i="22"/>
  <c r="T25" i="19"/>
  <c r="D33" i="16"/>
  <c r="P16" i="13"/>
  <c r="B22" i="17"/>
  <c r="T20" i="29"/>
  <c r="P25" i="19"/>
  <c r="P21" i="20"/>
  <c r="T25" i="17"/>
  <c r="T16" i="25"/>
  <c r="T34" i="16"/>
  <c r="H33" i="20"/>
  <c r="T21" i="17"/>
  <c r="H34" i="23"/>
  <c r="P15" i="19"/>
  <c r="P16" i="34"/>
  <c r="H13" i="19"/>
  <c r="P22" i="25"/>
  <c r="D33" i="19"/>
  <c r="P34" i="14"/>
  <c r="D21" i="20"/>
  <c r="P15" i="17"/>
  <c r="P29" i="13"/>
  <c r="B16" i="20"/>
  <c r="D13" i="17"/>
  <c r="H12" i="13"/>
  <c r="T22" i="10"/>
  <c r="D5" i="7"/>
  <c r="H34" i="16"/>
  <c r="T16" i="11"/>
  <c r="H21" i="8"/>
  <c r="T29" i="4"/>
  <c r="H12" i="11"/>
  <c r="B38" i="7"/>
  <c r="T24" i="4"/>
  <c r="H29" i="13"/>
  <c r="B22" i="8"/>
  <c r="T16" i="5"/>
  <c r="D4" i="14"/>
  <c r="P16" i="10"/>
  <c r="P24" i="4"/>
  <c r="H13" i="11"/>
  <c r="B16" i="8"/>
  <c r="H12" i="4"/>
  <c r="D33" i="11"/>
  <c r="P12" i="8"/>
  <c r="P15" i="5"/>
  <c r="D22" i="11"/>
  <c r="P33" i="8"/>
  <c r="H34" i="4"/>
  <c r="H22" i="13"/>
  <c r="P24" i="8"/>
  <c r="D33" i="5"/>
  <c r="H13" i="14"/>
  <c r="B16" i="14"/>
  <c r="B16" i="10"/>
  <c r="B21" i="5"/>
  <c r="T16" i="13"/>
  <c r="H12" i="7"/>
  <c r="B13" i="5"/>
  <c r="P20" i="8"/>
  <c r="B21" i="19"/>
  <c r="H24" i="7"/>
  <c r="D16" i="20"/>
  <c r="B16" i="13"/>
  <c r="B21" i="7"/>
  <c r="P16" i="4"/>
  <c r="D13" i="112"/>
  <c r="D33" i="111"/>
  <c r="T29" i="112"/>
  <c r="P29" i="112"/>
  <c r="T21" i="111"/>
  <c r="P24" i="111"/>
  <c r="T29" i="52"/>
  <c r="P16" i="53"/>
  <c r="P25" i="49"/>
  <c r="P21" i="49"/>
  <c r="B39" i="50"/>
  <c r="P24" i="46"/>
  <c r="P25" i="53"/>
  <c r="B25" i="46"/>
  <c r="H21" i="43"/>
  <c r="H21" i="47"/>
  <c r="D16" i="43"/>
  <c r="D15" i="46"/>
  <c r="T21" i="43"/>
  <c r="H24" i="46"/>
  <c r="P34" i="41"/>
  <c r="P16" i="41"/>
  <c r="H29" i="40"/>
  <c r="P22" i="41"/>
  <c r="H16" i="40"/>
  <c r="B21" i="40"/>
  <c r="P22" i="38"/>
  <c r="T13" i="37"/>
  <c r="D24" i="41"/>
  <c r="H21" i="35"/>
  <c r="H20" i="35"/>
  <c r="H15" i="35"/>
  <c r="B22" i="34"/>
  <c r="H34" i="38"/>
  <c r="P12" i="35"/>
  <c r="P29" i="35"/>
  <c r="T13" i="35"/>
  <c r="T12" i="29"/>
  <c r="H16" i="32"/>
  <c r="P21" i="34"/>
  <c r="T16" i="41"/>
  <c r="D16" i="31"/>
  <c r="H33" i="25"/>
  <c r="D21" i="28"/>
  <c r="H21" i="22"/>
  <c r="B25" i="22"/>
  <c r="D21" i="22"/>
  <c r="B21" i="22"/>
  <c r="T33" i="22"/>
  <c r="T24" i="26"/>
  <c r="P29" i="23"/>
  <c r="P33" i="26"/>
  <c r="P34" i="22"/>
  <c r="P21" i="28"/>
  <c r="T15" i="23"/>
  <c r="P34" i="28"/>
  <c r="D12" i="25"/>
  <c r="D33" i="28"/>
  <c r="B16" i="19"/>
  <c r="D29" i="16"/>
  <c r="D12" i="13"/>
  <c r="D21" i="17"/>
  <c r="D13" i="28"/>
  <c r="T21" i="19"/>
  <c r="T15" i="20"/>
  <c r="B16" i="17"/>
  <c r="H25" i="23"/>
  <c r="T33" i="16"/>
  <c r="H29" i="20"/>
  <c r="T24" i="16"/>
  <c r="P15" i="23"/>
  <c r="D5" i="19"/>
  <c r="T15" i="25"/>
  <c r="D4" i="19"/>
  <c r="T13" i="25"/>
  <c r="D29" i="19"/>
  <c r="P33" i="14"/>
  <c r="H15" i="20"/>
  <c r="D5" i="17"/>
  <c r="P25" i="13"/>
  <c r="D15" i="20"/>
  <c r="B39" i="16"/>
  <c r="D5" i="23"/>
  <c r="P12" i="10"/>
  <c r="T34" i="5"/>
  <c r="P15" i="16"/>
  <c r="T13" i="11"/>
  <c r="D13" i="8"/>
  <c r="T25" i="4"/>
  <c r="P24" i="10"/>
  <c r="D34" i="7"/>
  <c r="T22" i="4"/>
  <c r="T25" i="13"/>
  <c r="D21" i="8"/>
  <c r="T13" i="5"/>
  <c r="T34" i="13"/>
  <c r="D12" i="10"/>
  <c r="P22" i="4"/>
  <c r="D4" i="11"/>
  <c r="D15" i="8"/>
  <c r="H25" i="16"/>
  <c r="D29" i="11"/>
  <c r="T34" i="7"/>
  <c r="D5" i="5"/>
  <c r="H20" i="11"/>
  <c r="P29" i="8"/>
  <c r="H33" i="4"/>
  <c r="T20" i="13"/>
  <c r="P22" i="8"/>
  <c r="D29" i="5"/>
  <c r="D4" i="13"/>
  <c r="B13" i="14"/>
  <c r="D15" i="10"/>
  <c r="D20" i="5"/>
  <c r="T25" i="11"/>
  <c r="D22" i="4"/>
  <c r="D29" i="4"/>
  <c r="D21" i="5"/>
  <c r="H33" i="28"/>
  <c r="D15" i="4"/>
  <c r="B25" i="7"/>
  <c r="T16" i="4"/>
  <c r="T29" i="7"/>
  <c r="H25" i="111"/>
  <c r="H21" i="111"/>
  <c r="T25" i="112"/>
  <c r="T21" i="112"/>
  <c r="T34" i="110"/>
  <c r="T16" i="111"/>
  <c r="D15" i="52"/>
  <c r="D12" i="53"/>
  <c r="B21" i="47"/>
  <c r="T15" i="49"/>
  <c r="H34" i="49"/>
  <c r="T16" i="46"/>
  <c r="H22" i="53"/>
  <c r="D22" i="46"/>
  <c r="D13" i="43"/>
  <c r="D20" i="44"/>
  <c r="D33" i="41"/>
  <c r="H12" i="46"/>
  <c r="T29" i="49"/>
  <c r="B16" i="46"/>
  <c r="T25" i="49"/>
  <c r="P20" i="40"/>
  <c r="H25" i="40"/>
  <c r="B13" i="41"/>
  <c r="B13" i="40"/>
  <c r="D20" i="40"/>
  <c r="T20" i="38"/>
  <c r="H33" i="46"/>
  <c r="D12" i="41"/>
  <c r="D13" i="35"/>
  <c r="H16" i="35"/>
  <c r="B25" i="34"/>
  <c r="D21" i="34"/>
  <c r="P15" i="38"/>
  <c r="T34" i="34"/>
  <c r="P25" i="35"/>
  <c r="P34" i="34"/>
  <c r="B21" i="28"/>
  <c r="B13" i="32"/>
  <c r="T15" i="34"/>
  <c r="P22" i="40"/>
  <c r="P21" i="29"/>
  <c r="H29" i="25"/>
  <c r="B38" i="26"/>
  <c r="D13" i="22"/>
  <c r="D24" i="22"/>
  <c r="H15" i="22"/>
  <c r="D20" i="22"/>
  <c r="T29" i="22"/>
  <c r="T22" i="26"/>
  <c r="P25" i="23"/>
  <c r="P29" i="26"/>
  <c r="P33" i="22"/>
  <c r="P24" i="26"/>
  <c r="P13" i="23"/>
  <c r="H29" i="28"/>
  <c r="B39" i="23"/>
  <c r="P13" i="26"/>
  <c r="D15" i="19"/>
  <c r="D25" i="16"/>
  <c r="B21" i="29"/>
  <c r="H15" i="17"/>
  <c r="P21" i="26"/>
  <c r="B21" i="17"/>
  <c r="P13" i="20"/>
  <c r="D15" i="17"/>
  <c r="P20" i="20"/>
  <c r="T29" i="16"/>
  <c r="H25" i="20"/>
  <c r="T22" i="16"/>
  <c r="D12" i="22"/>
  <c r="P24" i="17"/>
  <c r="B38" i="20"/>
  <c r="P21" i="17"/>
  <c r="H33" i="23"/>
  <c r="D25" i="19"/>
  <c r="P29" i="14"/>
  <c r="B25" i="19"/>
  <c r="P20" i="16"/>
  <c r="T21" i="13"/>
  <c r="T12" i="20"/>
  <c r="H24" i="16"/>
  <c r="B21" i="20"/>
  <c r="B39" i="8"/>
  <c r="T33" i="5"/>
  <c r="D21" i="14"/>
  <c r="P34" i="10"/>
  <c r="B39" i="7"/>
  <c r="B16" i="4"/>
  <c r="P22" i="10"/>
  <c r="D33" i="7"/>
  <c r="P12" i="4"/>
  <c r="D24" i="13"/>
  <c r="H15" i="8"/>
  <c r="P34" i="4"/>
  <c r="H21" i="13"/>
  <c r="B21" i="8"/>
  <c r="T20" i="4"/>
  <c r="H34" i="10"/>
  <c r="T12" i="8"/>
  <c r="D22" i="14"/>
  <c r="D25" i="11"/>
  <c r="T33" i="7"/>
  <c r="P20" i="4"/>
  <c r="H16" i="11"/>
  <c r="P25" i="8"/>
  <c r="H29" i="4"/>
  <c r="D5" i="13"/>
  <c r="T20" i="8"/>
  <c r="D25" i="5"/>
  <c r="B21" i="11"/>
  <c r="T33" i="13"/>
  <c r="T12" i="10"/>
  <c r="D16" i="5"/>
  <c r="P16" i="8"/>
  <c r="B13" i="4"/>
  <c r="D12" i="8"/>
  <c r="T12" i="11"/>
  <c r="D24" i="19"/>
  <c r="D29" i="7"/>
  <c r="P33" i="4"/>
  <c r="H33" i="10"/>
  <c r="H21" i="11"/>
  <c r="T21" i="8"/>
  <c r="D6" i="111"/>
  <c r="D13" i="111"/>
  <c r="D21" i="111"/>
  <c r="T29" i="111"/>
  <c r="B16" i="110"/>
  <c r="H12" i="111"/>
  <c r="T12" i="52"/>
  <c r="B25" i="53"/>
  <c r="B22" i="46"/>
  <c r="P13" i="49"/>
  <c r="H29" i="49"/>
  <c r="T13" i="46"/>
  <c r="D20" i="50"/>
  <c r="B13" i="46"/>
  <c r="H25" i="53"/>
  <c r="B22" i="43"/>
  <c r="T34" i="50"/>
  <c r="T21" i="44"/>
  <c r="B16" i="47"/>
  <c r="P13" i="46"/>
  <c r="H33" i="47"/>
  <c r="P16" i="40"/>
  <c r="H29" i="43"/>
  <c r="D25" i="40"/>
  <c r="H15" i="40"/>
  <c r="P25" i="38"/>
  <c r="P29" i="37"/>
  <c r="B21" i="41"/>
  <c r="B39" i="38"/>
  <c r="D4" i="34"/>
  <c r="D29" i="34"/>
  <c r="B13" i="34"/>
  <c r="H12" i="32"/>
  <c r="B16" i="35"/>
  <c r="D15" i="34"/>
  <c r="B39" i="32"/>
  <c r="B38" i="32"/>
  <c r="H20" i="38"/>
  <c r="D25" i="31"/>
  <c r="H15" i="32"/>
  <c r="H22" i="35"/>
  <c r="P22" i="28"/>
  <c r="D34" i="23"/>
  <c r="H21" i="26"/>
  <c r="P15" i="28"/>
  <c r="D16" i="32"/>
  <c r="H16" i="29"/>
  <c r="D16" i="22"/>
  <c r="T25" i="22"/>
  <c r="P12" i="26"/>
  <c r="T21" i="23"/>
  <c r="P25" i="26"/>
  <c r="P29" i="22"/>
  <c r="P22" i="26"/>
  <c r="H12" i="23"/>
  <c r="H21" i="28"/>
  <c r="H24" i="23"/>
  <c r="T20" i="25"/>
  <c r="T12" i="19"/>
  <c r="H21" i="16"/>
  <c r="T15" i="22"/>
  <c r="B25" i="16"/>
  <c r="H12" i="26"/>
  <c r="D20" i="17"/>
  <c r="H12" i="20"/>
  <c r="T12" i="17"/>
  <c r="P16" i="20"/>
  <c r="T25" i="16"/>
  <c r="P15" i="20"/>
  <c r="P12" i="16"/>
  <c r="B39" i="20"/>
  <c r="P22" i="17"/>
  <c r="D34" i="20"/>
  <c r="T15" i="17"/>
  <c r="P20" i="22"/>
  <c r="H21" i="19"/>
  <c r="P25" i="14"/>
  <c r="P16" i="16"/>
  <c r="H22" i="16"/>
  <c r="T33" i="14"/>
  <c r="H24" i="8"/>
  <c r="T29" i="5"/>
  <c r="T15" i="14"/>
  <c r="P33" i="10"/>
  <c r="T20" i="10"/>
  <c r="D16" i="13"/>
  <c r="D20" i="8"/>
  <c r="D15" i="14"/>
  <c r="B13" i="11"/>
  <c r="P13" i="110"/>
  <c r="D4" i="111"/>
  <c r="B38" i="110"/>
  <c r="T25" i="111"/>
  <c r="P34" i="110"/>
  <c r="P29" i="111"/>
  <c r="P34" i="53"/>
  <c r="D22" i="53"/>
  <c r="D21" i="46"/>
  <c r="D5" i="52"/>
  <c r="D5" i="49"/>
  <c r="B38" i="53"/>
  <c r="B22" i="49"/>
  <c r="H33" i="52"/>
  <c r="H29" i="47"/>
  <c r="T24" i="52"/>
  <c r="B16" i="50"/>
  <c r="T22" i="43"/>
  <c r="T13" i="47"/>
  <c r="P21" i="43"/>
  <c r="T29" i="46"/>
  <c r="D12" i="40"/>
  <c r="P20" i="41"/>
  <c r="D13" i="40"/>
  <c r="T22" i="38"/>
  <c r="T24" i="37"/>
  <c r="T21" i="37"/>
  <c r="P34" i="40"/>
  <c r="H22" i="38"/>
  <c r="T22" i="32"/>
  <c r="H21" i="34"/>
  <c r="P22" i="32"/>
  <c r="P22" i="31"/>
  <c r="T12" i="35"/>
  <c r="H34" i="32"/>
  <c r="H22" i="32"/>
  <c r="D33" i="32"/>
  <c r="D33" i="37"/>
  <c r="D13" i="31"/>
  <c r="D24" i="31"/>
  <c r="D4" i="35"/>
  <c r="T16" i="28"/>
  <c r="D29" i="23"/>
  <c r="B39" i="25"/>
  <c r="B25" i="26"/>
  <c r="D34" i="28"/>
  <c r="P20" i="28"/>
  <c r="D24" i="29"/>
  <c r="B16" i="22"/>
  <c r="T34" i="25"/>
  <c r="T24" i="22"/>
  <c r="T21" i="26"/>
  <c r="P25" i="22"/>
  <c r="T20" i="26"/>
  <c r="P24" i="22"/>
  <c r="B13" i="28"/>
  <c r="H22" i="23"/>
  <c r="H29" i="23"/>
  <c r="B25" i="17"/>
  <c r="D13" i="16"/>
  <c r="P34" i="20"/>
  <c r="D24" i="16"/>
  <c r="P24" i="20"/>
  <c r="D16" i="17"/>
  <c r="P24" i="19"/>
  <c r="B21" i="16"/>
  <c r="D12" i="20"/>
  <c r="B16" i="16"/>
  <c r="D5" i="20"/>
  <c r="B21" i="14"/>
  <c r="H24" i="20"/>
  <c r="T20" i="17"/>
  <c r="D33" i="20"/>
  <c r="P13" i="17"/>
  <c r="B25" i="20"/>
  <c r="D13" i="19"/>
  <c r="T21" i="14"/>
  <c r="D22" i="19"/>
  <c r="D12" i="16"/>
  <c r="H16" i="28"/>
  <c r="D20" i="19"/>
  <c r="H13" i="16"/>
  <c r="H20" i="13"/>
  <c r="H22" i="8"/>
  <c r="T25" i="5"/>
  <c r="T12" i="14"/>
  <c r="P29" i="10"/>
  <c r="H22" i="7"/>
  <c r="T12" i="4"/>
  <c r="T16" i="10"/>
  <c r="D25" i="7"/>
  <c r="B22" i="19"/>
  <c r="D13" i="13"/>
  <c r="D24" i="7"/>
  <c r="P29" i="4"/>
  <c r="B13" i="13"/>
  <c r="D16" i="8"/>
  <c r="T13" i="4"/>
  <c r="H29" i="10"/>
  <c r="D20" i="7"/>
  <c r="B38" i="13"/>
  <c r="D13" i="11"/>
  <c r="T25" i="7"/>
  <c r="D12" i="4"/>
  <c r="B38" i="10"/>
  <c r="T24" i="7"/>
  <c r="P15" i="4"/>
  <c r="D21" i="11"/>
  <c r="T13" i="8"/>
  <c r="D13" i="5"/>
  <c r="D16" i="11"/>
  <c r="D15" i="13"/>
  <c r="H33" i="8"/>
  <c r="D21" i="4"/>
  <c r="D24" i="4"/>
  <c r="T20" i="7"/>
  <c r="H20" i="4"/>
  <c r="P24" i="7"/>
  <c r="H22" i="112"/>
  <c r="B25" i="112"/>
  <c r="B21" i="112"/>
  <c r="D25" i="110"/>
  <c r="H15" i="110"/>
  <c r="T33" i="110"/>
  <c r="D21" i="53"/>
  <c r="T13" i="53"/>
  <c r="B38" i="52"/>
  <c r="P13" i="50"/>
  <c r="P15" i="50"/>
  <c r="H34" i="52"/>
  <c r="D22" i="50"/>
  <c r="T29" i="53"/>
  <c r="P15" i="47"/>
  <c r="P29" i="46"/>
  <c r="D24" i="49"/>
  <c r="T24" i="44"/>
  <c r="D22" i="49"/>
  <c r="P21" i="44"/>
  <c r="T22" i="41"/>
  <c r="T15" i="46"/>
  <c r="D13" i="38"/>
  <c r="H24" i="40"/>
  <c r="D16" i="38"/>
  <c r="T33" i="37"/>
  <c r="T29" i="50"/>
  <c r="D21" i="41"/>
  <c r="P25" i="40"/>
  <c r="H34" i="37"/>
  <c r="T33" i="31"/>
  <c r="P33" i="32"/>
  <c r="T13" i="32"/>
  <c r="T13" i="31"/>
  <c r="D16" i="34"/>
  <c r="H25" i="32"/>
  <c r="H34" i="31"/>
  <c r="H21" i="32"/>
  <c r="P21" i="35"/>
  <c r="P12" i="29"/>
  <c r="H16" i="31"/>
  <c r="H29" i="34"/>
  <c r="B21" i="32"/>
  <c r="D13" i="23"/>
  <c r="H13" i="25"/>
  <c r="H20" i="26"/>
  <c r="B22" i="26"/>
  <c r="D20" i="26"/>
  <c r="T29" i="26"/>
  <c r="T12" i="22"/>
  <c r="T29" i="25"/>
  <c r="P12" i="22"/>
  <c r="T22" i="25"/>
  <c r="H33" i="35"/>
  <c r="T13" i="26"/>
  <c r="T20" i="22"/>
  <c r="H33" i="26"/>
  <c r="D4" i="23"/>
  <c r="T24" i="20"/>
  <c r="D22" i="17"/>
  <c r="H33" i="14"/>
  <c r="P29" i="20"/>
  <c r="H20" i="16"/>
  <c r="T20" i="20"/>
  <c r="D21" i="16"/>
  <c r="T20" i="19"/>
  <c r="D16" i="16"/>
  <c r="T15" i="19"/>
  <c r="T12" i="16"/>
  <c r="P16" i="19"/>
  <c r="D16" i="14"/>
  <c r="H13" i="20"/>
  <c r="T13" i="17"/>
  <c r="D25" i="20"/>
  <c r="P24" i="16"/>
  <c r="D22" i="20"/>
  <c r="P16" i="17"/>
  <c r="T22" i="13"/>
  <c r="H16" i="19"/>
  <c r="P22" i="14"/>
  <c r="H12" i="25"/>
  <c r="B38" i="17"/>
  <c r="P20" i="14"/>
  <c r="P34" i="11"/>
  <c r="D4" i="8"/>
  <c r="D15" i="5"/>
  <c r="T29" i="13"/>
  <c r="T21" i="10"/>
  <c r="D4" i="7"/>
  <c r="P12" i="14"/>
  <c r="B25" i="8"/>
  <c r="D13" i="7"/>
  <c r="D5" i="16"/>
  <c r="P16" i="11"/>
  <c r="H20" i="7"/>
  <c r="T21" i="4"/>
  <c r="H33" i="11"/>
  <c r="D21" i="7"/>
  <c r="B39" i="13"/>
  <c r="P15" i="10"/>
  <c r="P20" i="5"/>
  <c r="P22" i="13"/>
  <c r="H24" i="10"/>
  <c r="D15" i="7"/>
  <c r="D25" i="14"/>
  <c r="D33" i="10"/>
  <c r="P12" i="7"/>
  <c r="H15" i="19"/>
  <c r="B25" i="10"/>
  <c r="P33" i="7"/>
  <c r="H24" i="4"/>
  <c r="D21" i="10"/>
  <c r="T22" i="11"/>
  <c r="H25" i="8"/>
  <c r="D16" i="10"/>
  <c r="T15" i="8"/>
  <c r="H21" i="4"/>
  <c r="B16" i="11"/>
  <c r="D25" i="4"/>
  <c r="D5" i="111"/>
  <c r="T21" i="52"/>
  <c r="P33" i="50"/>
  <c r="T20" i="43"/>
  <c r="D29" i="41"/>
  <c r="H12" i="41"/>
  <c r="T34" i="29"/>
  <c r="D20" i="32"/>
  <c r="B13" i="29"/>
  <c r="B39" i="29"/>
  <c r="T24" i="19"/>
  <c r="P21" i="19"/>
  <c r="T16" i="17"/>
  <c r="P20" i="17"/>
  <c r="P21" i="25"/>
  <c r="H13" i="8"/>
  <c r="H13" i="7"/>
  <c r="H24" i="17"/>
  <c r="H34" i="11"/>
  <c r="D16" i="7"/>
  <c r="B39" i="17"/>
  <c r="B25" i="13"/>
  <c r="H16" i="14"/>
  <c r="D12" i="7"/>
  <c r="D22" i="5"/>
  <c r="D33" i="13"/>
  <c r="P15" i="110"/>
  <c r="B13" i="53"/>
  <c r="B25" i="49"/>
  <c r="P13" i="43"/>
  <c r="P12" i="37"/>
  <c r="T16" i="32"/>
  <c r="D13" i="37"/>
  <c r="H22" i="25"/>
  <c r="T33" i="25"/>
  <c r="H34" i="26"/>
  <c r="D22" i="16"/>
  <c r="T24" i="17"/>
  <c r="P29" i="16"/>
  <c r="T15" i="16"/>
  <c r="T33" i="20"/>
  <c r="H29" i="7"/>
  <c r="P12" i="5"/>
  <c r="T22" i="14"/>
  <c r="P15" i="11"/>
  <c r="P21" i="4"/>
  <c r="D25" i="13"/>
  <c r="B22" i="11"/>
  <c r="D20" i="11"/>
  <c r="B22" i="4"/>
  <c r="B22" i="5"/>
  <c r="B22" i="10"/>
  <c r="D22" i="111"/>
  <c r="H29" i="53"/>
  <c r="B25" i="44"/>
  <c r="H29" i="44"/>
  <c r="T29" i="40"/>
  <c r="T34" i="38"/>
  <c r="T16" i="34"/>
  <c r="B13" i="23"/>
  <c r="D15" i="25"/>
  <c r="P15" i="26"/>
  <c r="B39" i="14"/>
  <c r="D15" i="16"/>
  <c r="T21" i="16"/>
  <c r="H12" i="16"/>
  <c r="T25" i="20"/>
  <c r="P15" i="7"/>
  <c r="T33" i="4"/>
  <c r="P20" i="10"/>
  <c r="P13" i="4"/>
  <c r="D24" i="11"/>
  <c r="H15" i="11"/>
  <c r="H15" i="4"/>
  <c r="T34" i="11"/>
  <c r="D29" i="110"/>
  <c r="H15" i="46"/>
  <c r="T16" i="47"/>
  <c r="P21" i="46"/>
  <c r="H13" i="44"/>
  <c r="T16" i="31"/>
  <c r="T22" i="29"/>
  <c r="D22" i="26"/>
  <c r="T22" i="22"/>
  <c r="H13" i="23"/>
  <c r="H22" i="14"/>
  <c r="P21" i="22"/>
  <c r="D29" i="20"/>
  <c r="T24" i="13"/>
  <c r="D16" i="19"/>
  <c r="B16" i="5"/>
  <c r="H33" i="16"/>
  <c r="P20" i="11"/>
  <c r="B22" i="7"/>
  <c r="H34" i="13"/>
  <c r="D34" i="10"/>
  <c r="H20" i="10"/>
  <c r="D34" i="14"/>
  <c r="D34" i="4"/>
  <c r="T33" i="11"/>
  <c r="B39" i="40"/>
  <c r="H33" i="34"/>
  <c r="D24" i="17"/>
  <c r="H15" i="13"/>
  <c r="H33" i="17"/>
  <c r="H20" i="8"/>
  <c r="B39" i="11"/>
  <c r="D4" i="10"/>
  <c r="D33" i="4"/>
  <c r="P22" i="19"/>
  <c r="D4" i="32"/>
  <c r="D20" i="111"/>
  <c r="T13" i="49"/>
  <c r="D24" i="43"/>
  <c r="H24" i="43"/>
  <c r="P13" i="38"/>
  <c r="D13" i="29"/>
  <c r="T12" i="28"/>
  <c r="D25" i="25"/>
  <c r="T21" i="28"/>
  <c r="H29" i="22"/>
  <c r="P22" i="20"/>
  <c r="P20" i="19"/>
  <c r="B39" i="19"/>
  <c r="P13" i="25"/>
  <c r="D29" i="17"/>
  <c r="D20" i="4"/>
  <c r="P21" i="11"/>
  <c r="T15" i="10"/>
  <c r="T15" i="5"/>
  <c r="T12" i="13"/>
  <c r="H21" i="10"/>
  <c r="B13" i="10"/>
  <c r="H21" i="14"/>
  <c r="T24" i="14"/>
  <c r="B21" i="10"/>
  <c r="P13" i="7"/>
  <c r="D20" i="10"/>
  <c r="H20" i="5"/>
  <c r="B39" i="53"/>
  <c r="D5" i="28"/>
  <c r="T16" i="16"/>
  <c r="P24" i="5"/>
  <c r="T21" i="7"/>
  <c r="T15" i="7"/>
  <c r="T29" i="38"/>
  <c r="H22" i="11"/>
  <c r="B16" i="111"/>
  <c r="H33" i="50"/>
  <c r="T33" i="49"/>
  <c r="D25" i="38"/>
  <c r="P29" i="40"/>
  <c r="D20" i="34"/>
  <c r="H20" i="31"/>
  <c r="D12" i="28"/>
  <c r="T24" i="25"/>
  <c r="P16" i="22"/>
  <c r="P34" i="19"/>
  <c r="P33" i="17"/>
  <c r="H22" i="19"/>
  <c r="B22" i="20"/>
  <c r="H21" i="17"/>
  <c r="D20" i="20"/>
  <c r="P13" i="11"/>
  <c r="H12" i="10"/>
  <c r="H12" i="5"/>
  <c r="D34" i="11"/>
  <c r="P34" i="8"/>
  <c r="T16" i="8"/>
  <c r="P24" i="13"/>
  <c r="D4" i="38"/>
  <c r="P24" i="11"/>
  <c r="D12" i="29"/>
  <c r="T24" i="111"/>
  <c r="P29" i="47"/>
  <c r="T34" i="44"/>
  <c r="D4" i="37"/>
  <c r="P13" i="37"/>
  <c r="H12" i="31"/>
  <c r="T24" i="28"/>
  <c r="H16" i="25"/>
  <c r="P22" i="23"/>
  <c r="T34" i="19"/>
  <c r="B22" i="16"/>
  <c r="D20" i="14"/>
  <c r="H12" i="17"/>
  <c r="H20" i="19"/>
  <c r="D4" i="16"/>
  <c r="H33" i="13"/>
  <c r="T13" i="10"/>
  <c r="D22" i="7"/>
  <c r="H15" i="14"/>
  <c r="B39" i="10"/>
  <c r="T22" i="7"/>
  <c r="P34" i="7"/>
  <c r="T24" i="11"/>
  <c r="P21" i="14"/>
  <c r="H29" i="46"/>
  <c r="D12" i="26"/>
  <c r="H22" i="5"/>
  <c r="T20" i="11"/>
  <c r="T34" i="17"/>
  <c r="P13" i="112"/>
  <c r="H29" i="32"/>
  <c r="T21" i="22"/>
  <c r="P21" i="13"/>
  <c r="T33" i="10"/>
  <c r="T25" i="32"/>
  <c r="H25" i="17"/>
  <c r="B13" i="8"/>
  <c r="T22" i="8"/>
  <c r="D34" i="5"/>
  <c r="P21" i="7"/>
  <c r="B39" i="112"/>
  <c r="B25" i="50"/>
  <c r="D20" i="38"/>
  <c r="H25" i="35"/>
  <c r="T16" i="26"/>
  <c r="H22" i="20"/>
  <c r="P24" i="14"/>
  <c r="P25" i="10"/>
  <c r="P25" i="4"/>
  <c r="B16" i="7"/>
  <c r="H21" i="5"/>
  <c r="P13" i="8"/>
  <c r="H25" i="112"/>
  <c r="B39" i="49"/>
  <c r="T29" i="43"/>
  <c r="B25" i="37"/>
  <c r="T33" i="38"/>
  <c r="D21" i="25"/>
  <c r="H25" i="29"/>
  <c r="B13" i="17"/>
  <c r="P24" i="25"/>
  <c r="P13" i="13"/>
  <c r="T20" i="5"/>
  <c r="D4" i="5"/>
  <c r="T25" i="10"/>
  <c r="H16" i="4"/>
  <c r="B22" i="53"/>
  <c r="D15" i="50"/>
  <c r="T34" i="31"/>
  <c r="T33" i="26"/>
  <c r="H34" i="14"/>
  <c r="D24" i="20"/>
  <c r="T13" i="13"/>
  <c r="H21" i="7"/>
  <c r="H25" i="10"/>
  <c r="H25" i="4"/>
  <c r="H34" i="8"/>
  <c r="T13" i="110"/>
  <c r="D16" i="53"/>
  <c r="D34" i="49"/>
  <c r="D12" i="46"/>
  <c r="H16" i="41"/>
  <c r="T20" i="40"/>
  <c r="H25" i="38"/>
  <c r="B39" i="26"/>
  <c r="T12" i="26"/>
  <c r="P29" i="25"/>
  <c r="P15" i="14"/>
  <c r="D20" i="16"/>
  <c r="H33" i="19"/>
  <c r="B13" i="20"/>
  <c r="T13" i="14"/>
  <c r="P25" i="11"/>
  <c r="D33" i="8"/>
  <c r="P29" i="5"/>
  <c r="H22" i="17"/>
  <c r="T33" i="8"/>
  <c r="H33" i="5"/>
  <c r="D5" i="4"/>
  <c r="B39" i="4"/>
  <c r="H29" i="8"/>
  <c r="D24" i="5"/>
  <c r="T20" i="53"/>
  <c r="T34" i="37"/>
  <c r="D25" i="32"/>
  <c r="D15" i="22"/>
  <c r="P22" i="22"/>
  <c r="D5" i="35"/>
  <c r="H25" i="19"/>
  <c r="P33" i="13"/>
  <c r="D25" i="8"/>
  <c r="T21" i="5"/>
  <c r="T25" i="8"/>
  <c r="H25" i="5"/>
  <c r="D4" i="4"/>
  <c r="P21" i="8"/>
  <c r="H12" i="110"/>
  <c r="T34" i="53"/>
  <c r="D4" i="47"/>
  <c r="P34" i="32"/>
  <c r="H21" i="23"/>
  <c r="P33" i="20"/>
  <c r="D34" i="19"/>
  <c r="T24" i="10"/>
  <c r="T25" i="14"/>
  <c r="P13" i="14"/>
  <c r="P20" i="7"/>
  <c r="X25" i="45" l="1"/>
  <c r="Z25" i="45"/>
  <c r="X20" i="92"/>
  <c r="Z20" i="92" s="1"/>
  <c r="X21" i="107"/>
  <c r="Z21" i="107" s="1"/>
  <c r="N54" i="27"/>
  <c r="L21" i="80"/>
  <c r="Z18" i="101"/>
  <c r="X136" i="18"/>
  <c r="Z78" i="30"/>
  <c r="Z29" i="36"/>
  <c r="L78" i="74"/>
  <c r="N78" i="74" s="1"/>
  <c r="X23" i="83"/>
  <c r="Z23" i="83" s="1"/>
  <c r="Z21" i="87"/>
  <c r="X22" i="94"/>
  <c r="N18" i="99"/>
  <c r="X18" i="100"/>
  <c r="L25" i="103"/>
  <c r="Z18" i="61"/>
  <c r="X18" i="99"/>
  <c r="Z18" i="99" s="1"/>
  <c r="Z18" i="100"/>
  <c r="N25" i="105"/>
  <c r="L37" i="24"/>
  <c r="N37" i="24" s="1"/>
  <c r="L47" i="51"/>
  <c r="X25" i="103"/>
  <c r="N145" i="3"/>
  <c r="N19" i="9"/>
  <c r="T78" i="79"/>
  <c r="T82" i="79" s="1"/>
  <c r="X25" i="82"/>
  <c r="T104" i="21"/>
  <c r="T78" i="94"/>
  <c r="T82" i="94" s="1"/>
  <c r="H123" i="39"/>
  <c r="X19" i="57"/>
  <c r="L22" i="94"/>
  <c r="N22" i="94" s="1"/>
  <c r="Z18" i="102"/>
  <c r="L118" i="12"/>
  <c r="N118" i="12" s="1"/>
  <c r="H127" i="36"/>
  <c r="H131" i="36" s="1"/>
  <c r="X18" i="55"/>
  <c r="X47" i="76"/>
  <c r="Z47" i="76" s="1"/>
  <c r="V25" i="82"/>
  <c r="L18" i="61"/>
  <c r="N18" i="61" s="1"/>
  <c r="X114" i="15"/>
  <c r="Z114" i="15" s="1"/>
  <c r="N136" i="18"/>
  <c r="X21" i="80"/>
  <c r="Z21" i="80" s="1"/>
  <c r="N42" i="84"/>
  <c r="Z25" i="95"/>
  <c r="X19" i="56"/>
  <c r="Z19" i="56" s="1"/>
  <c r="L18" i="63"/>
  <c r="N18" i="63" s="1"/>
  <c r="N16" i="4"/>
  <c r="Z15" i="7"/>
  <c r="Z29" i="11"/>
  <c r="L22" i="13"/>
  <c r="L25" i="4"/>
  <c r="N20" i="5"/>
  <c r="X24" i="7"/>
  <c r="L20" i="10"/>
  <c r="V20" i="11"/>
  <c r="V18" i="11"/>
  <c r="V16" i="11"/>
  <c r="T18" i="11"/>
  <c r="V15" i="11"/>
  <c r="Z12" i="11"/>
  <c r="V36" i="11"/>
  <c r="V34" i="11"/>
  <c r="V33" i="11"/>
  <c r="V31" i="11"/>
  <c r="V29" i="11"/>
  <c r="V27" i="11"/>
  <c r="V25" i="11"/>
  <c r="V21" i="11"/>
  <c r="V24" i="11"/>
  <c r="V22" i="11"/>
  <c r="L21" i="5"/>
  <c r="X20" i="8"/>
  <c r="L15" i="11"/>
  <c r="Z33" i="11"/>
  <c r="Z16" i="7"/>
  <c r="Z34" i="11"/>
  <c r="N20" i="4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L29" i="4"/>
  <c r="L22" i="5"/>
  <c r="J21" i="8"/>
  <c r="J20" i="8"/>
  <c r="J18" i="8"/>
  <c r="J16" i="8"/>
  <c r="H18" i="8"/>
  <c r="J15" i="8"/>
  <c r="N12" i="8"/>
  <c r="J24" i="8"/>
  <c r="J22" i="8"/>
  <c r="J36" i="8"/>
  <c r="J25" i="8"/>
  <c r="J34" i="8"/>
  <c r="J33" i="8"/>
  <c r="J31" i="8"/>
  <c r="J29" i="8"/>
  <c r="J27" i="8"/>
  <c r="X21" i="8"/>
  <c r="N15" i="5"/>
  <c r="L13" i="14"/>
  <c r="N21" i="4"/>
  <c r="L24" i="5"/>
  <c r="Z20" i="7"/>
  <c r="X13" i="8"/>
  <c r="L22" i="4"/>
  <c r="J24" i="7"/>
  <c r="J22" i="7"/>
  <c r="J21" i="7"/>
  <c r="J20" i="7"/>
  <c r="J18" i="7"/>
  <c r="J16" i="7"/>
  <c r="H18" i="7"/>
  <c r="J15" i="7"/>
  <c r="N12" i="7"/>
  <c r="J36" i="7"/>
  <c r="J34" i="7"/>
  <c r="J33" i="7"/>
  <c r="J31" i="7"/>
  <c r="J29" i="7"/>
  <c r="J27" i="7"/>
  <c r="J25" i="7"/>
  <c r="X21" i="7"/>
  <c r="L13" i="4"/>
  <c r="L33" i="4"/>
  <c r="N16" i="5"/>
  <c r="Z15" i="8"/>
  <c r="X21" i="14"/>
  <c r="L24" i="4"/>
  <c r="X13" i="7"/>
  <c r="X16" i="8"/>
  <c r="Z25" i="11"/>
  <c r="Z16" i="13"/>
  <c r="Z24" i="14"/>
  <c r="N13" i="17"/>
  <c r="L34" i="4"/>
  <c r="Z13" i="7"/>
  <c r="X22" i="7"/>
  <c r="L16" i="10"/>
  <c r="N15" i="4"/>
  <c r="L21" i="4"/>
  <c r="L16" i="5"/>
  <c r="L20" i="5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L12" i="7"/>
  <c r="X16" i="7"/>
  <c r="X20" i="7"/>
  <c r="X15" i="8"/>
  <c r="N25" i="8"/>
  <c r="N29" i="8"/>
  <c r="N33" i="8"/>
  <c r="N34" i="8"/>
  <c r="V21" i="10"/>
  <c r="V20" i="10"/>
  <c r="V18" i="10"/>
  <c r="V16" i="10"/>
  <c r="T18" i="10"/>
  <c r="V15" i="10"/>
  <c r="Z12" i="10"/>
  <c r="V24" i="10"/>
  <c r="V22" i="10"/>
  <c r="V34" i="10"/>
  <c r="V33" i="10"/>
  <c r="V31" i="10"/>
  <c r="V29" i="10"/>
  <c r="V27" i="10"/>
  <c r="V25" i="10"/>
  <c r="V36" i="10"/>
  <c r="L15" i="10"/>
  <c r="Z25" i="10"/>
  <c r="Z29" i="10"/>
  <c r="Z33" i="10"/>
  <c r="Z34" i="10"/>
  <c r="R24" i="11"/>
  <c r="R22" i="11"/>
  <c r="R21" i="11"/>
  <c r="R20" i="11"/>
  <c r="R18" i="11"/>
  <c r="R16" i="11"/>
  <c r="P18" i="11"/>
  <c r="R15" i="11"/>
  <c r="X12" i="11"/>
  <c r="R36" i="11"/>
  <c r="R34" i="11"/>
  <c r="R33" i="11"/>
  <c r="R31" i="11"/>
  <c r="R29" i="11"/>
  <c r="R27" i="11"/>
  <c r="R25" i="11"/>
  <c r="Z22" i="11"/>
  <c r="Z24" i="11"/>
  <c r="L15" i="13"/>
  <c r="X24" i="13"/>
  <c r="Z33" i="13"/>
  <c r="N21" i="14"/>
  <c r="L29" i="14"/>
  <c r="L34" i="14"/>
  <c r="N15" i="10"/>
  <c r="L21" i="10"/>
  <c r="L16" i="11"/>
  <c r="L20" i="11"/>
  <c r="N13" i="14"/>
  <c r="N16" i="14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6" i="10"/>
  <c r="N20" i="10"/>
  <c r="L22" i="10"/>
  <c r="L24" i="10"/>
  <c r="N15" i="11"/>
  <c r="L21" i="11"/>
  <c r="Z20" i="13"/>
  <c r="N22" i="13"/>
  <c r="L34" i="13"/>
  <c r="X13" i="14"/>
  <c r="Z29" i="14"/>
  <c r="Z34" i="14"/>
  <c r="N15" i="19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P18" i="7"/>
  <c r="R15" i="7"/>
  <c r="R21" i="7"/>
  <c r="R20" i="7"/>
  <c r="R18" i="7"/>
  <c r="R16" i="7"/>
  <c r="Z22" i="7"/>
  <c r="Z24" i="7"/>
  <c r="Z21" i="8"/>
  <c r="X25" i="8"/>
  <c r="X29" i="8"/>
  <c r="X33" i="8"/>
  <c r="X34" i="8"/>
  <c r="L13" i="10"/>
  <c r="N21" i="10"/>
  <c r="L25" i="10"/>
  <c r="L29" i="10"/>
  <c r="L33" i="10"/>
  <c r="L34" i="10"/>
  <c r="N16" i="11"/>
  <c r="N20" i="11"/>
  <c r="L22" i="11"/>
  <c r="L24" i="11"/>
  <c r="L25" i="13"/>
  <c r="N20" i="14"/>
  <c r="L25" i="14"/>
  <c r="D18" i="4"/>
  <c r="F15" i="4"/>
  <c r="L12" i="4"/>
  <c r="F36" i="4"/>
  <c r="F34" i="4"/>
  <c r="F33" i="4"/>
  <c r="F31" i="4"/>
  <c r="F29" i="4"/>
  <c r="F27" i="4"/>
  <c r="F25" i="4"/>
  <c r="F20" i="4"/>
  <c r="F18" i="4"/>
  <c r="F16" i="4"/>
  <c r="F24" i="4"/>
  <c r="F22" i="4"/>
  <c r="F21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16" i="8"/>
  <c r="R15" i="8"/>
  <c r="R20" i="8"/>
  <c r="R18" i="8"/>
  <c r="P18" i="8"/>
  <c r="Z22" i="8"/>
  <c r="Z24" i="8"/>
  <c r="N13" i="10"/>
  <c r="N22" i="10"/>
  <c r="N24" i="10"/>
  <c r="L13" i="11"/>
  <c r="N21" i="11"/>
  <c r="L25" i="11"/>
  <c r="L29" i="11"/>
  <c r="L33" i="11"/>
  <c r="L34" i="11"/>
  <c r="Z12" i="13"/>
  <c r="V21" i="13"/>
  <c r="V20" i="13"/>
  <c r="V18" i="13"/>
  <c r="V16" i="13"/>
  <c r="V29" i="13"/>
  <c r="V25" i="13"/>
  <c r="V34" i="13"/>
  <c r="T18" i="13"/>
  <c r="V31" i="13"/>
  <c r="V22" i="13"/>
  <c r="V15" i="13"/>
  <c r="V27" i="13"/>
  <c r="V36" i="13"/>
  <c r="V33" i="13"/>
  <c r="V24" i="13"/>
  <c r="X15" i="13"/>
  <c r="X22" i="13"/>
  <c r="N34" i="13"/>
  <c r="L15" i="14"/>
  <c r="L22" i="14"/>
  <c r="N25" i="16"/>
  <c r="N12" i="4"/>
  <c r="J36" i="4"/>
  <c r="J34" i="4"/>
  <c r="J33" i="4"/>
  <c r="J31" i="4"/>
  <c r="J29" i="4"/>
  <c r="J27" i="4"/>
  <c r="J25" i="4"/>
  <c r="J24" i="4"/>
  <c r="J22" i="4"/>
  <c r="J21" i="4"/>
  <c r="J15" i="4"/>
  <c r="J20" i="4"/>
  <c r="J18" i="4"/>
  <c r="H18" i="4"/>
  <c r="J16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D18" i="5"/>
  <c r="F15" i="5"/>
  <c r="F18" i="5"/>
  <c r="F16" i="5"/>
  <c r="F21" i="5"/>
  <c r="F20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X15" i="10"/>
  <c r="N25" i="10"/>
  <c r="N29" i="10"/>
  <c r="N33" i="10"/>
  <c r="N34" i="10"/>
  <c r="N13" i="11"/>
  <c r="N22" i="11"/>
  <c r="N24" i="11"/>
  <c r="N25" i="13"/>
  <c r="L29" i="13"/>
  <c r="N15" i="14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L12" i="10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F15" i="10"/>
  <c r="D18" i="10"/>
  <c r="X16" i="10"/>
  <c r="X20" i="10"/>
  <c r="X15" i="11"/>
  <c r="N25" i="11"/>
  <c r="N29" i="11"/>
  <c r="N33" i="11"/>
  <c r="N34" i="11"/>
  <c r="N21" i="13"/>
  <c r="Z34" i="13"/>
  <c r="Z25" i="14"/>
  <c r="N29" i="16"/>
  <c r="N22" i="17"/>
  <c r="L21" i="19"/>
  <c r="Z15" i="26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L12" i="11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X16" i="11"/>
  <c r="X20" i="11"/>
  <c r="L13" i="13"/>
  <c r="L16" i="13"/>
  <c r="L24" i="13"/>
  <c r="Z25" i="13"/>
  <c r="N29" i="13"/>
  <c r="L33" i="13"/>
  <c r="J24" i="14"/>
  <c r="J22" i="14"/>
  <c r="J21" i="14"/>
  <c r="N12" i="14"/>
  <c r="J36" i="14"/>
  <c r="J34" i="14"/>
  <c r="J33" i="14"/>
  <c r="J31" i="14"/>
  <c r="J29" i="14"/>
  <c r="J27" i="14"/>
  <c r="J25" i="14"/>
  <c r="J18" i="14"/>
  <c r="H18" i="14"/>
  <c r="J15" i="14"/>
  <c r="J20" i="14"/>
  <c r="J16" i="14"/>
  <c r="Z22" i="14"/>
  <c r="L33" i="14"/>
  <c r="N24" i="17"/>
  <c r="L16" i="20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X13" i="11"/>
  <c r="Z15" i="11"/>
  <c r="X21" i="11"/>
  <c r="N13" i="13"/>
  <c r="N16" i="13"/>
  <c r="X12" i="14"/>
  <c r="R24" i="14"/>
  <c r="R22" i="14"/>
  <c r="R21" i="14"/>
  <c r="P18" i="14"/>
  <c r="R15" i="14"/>
  <c r="R33" i="14"/>
  <c r="R27" i="14"/>
  <c r="R20" i="14"/>
  <c r="R36" i="14"/>
  <c r="R31" i="14"/>
  <c r="R25" i="14"/>
  <c r="R16" i="14"/>
  <c r="R34" i="14"/>
  <c r="R29" i="14"/>
  <c r="R18" i="14"/>
  <c r="N33" i="16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Z12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X12" i="5"/>
  <c r="Z22" i="5"/>
  <c r="Z24" i="5"/>
  <c r="N13" i="7"/>
  <c r="N22" i="7"/>
  <c r="N24" i="7"/>
  <c r="L13" i="8"/>
  <c r="N21" i="8"/>
  <c r="L25" i="8"/>
  <c r="L29" i="8"/>
  <c r="L33" i="8"/>
  <c r="L34" i="8"/>
  <c r="Z21" i="10"/>
  <c r="X25" i="10"/>
  <c r="X29" i="10"/>
  <c r="X33" i="10"/>
  <c r="X34" i="10"/>
  <c r="Z13" i="11"/>
  <c r="Z16" i="11"/>
  <c r="Z20" i="11"/>
  <c r="X22" i="11"/>
  <c r="X24" i="11"/>
  <c r="L20" i="13"/>
  <c r="N24" i="13"/>
  <c r="Z29" i="13"/>
  <c r="N33" i="13"/>
  <c r="V36" i="14"/>
  <c r="V34" i="14"/>
  <c r="V33" i="14"/>
  <c r="V31" i="14"/>
  <c r="V29" i="14"/>
  <c r="V27" i="14"/>
  <c r="V25" i="14"/>
  <c r="V20" i="14"/>
  <c r="V18" i="14"/>
  <c r="V16" i="14"/>
  <c r="T18" i="14"/>
  <c r="V15" i="14"/>
  <c r="Z12" i="14"/>
  <c r="V22" i="14"/>
  <c r="V24" i="14"/>
  <c r="V21" i="14"/>
  <c r="Z15" i="14"/>
  <c r="L21" i="14"/>
  <c r="X15" i="16"/>
  <c r="N34" i="16"/>
  <c r="L20" i="20"/>
  <c r="L16" i="4"/>
  <c r="L20" i="4"/>
  <c r="V24" i="5"/>
  <c r="V22" i="5"/>
  <c r="V21" i="5"/>
  <c r="V20" i="5"/>
  <c r="V18" i="5"/>
  <c r="V16" i="5"/>
  <c r="T18" i="5"/>
  <c r="V15" i="5"/>
  <c r="V36" i="5"/>
  <c r="V34" i="5"/>
  <c r="V33" i="5"/>
  <c r="V31" i="5"/>
  <c r="V29" i="5"/>
  <c r="V27" i="5"/>
  <c r="V25" i="5"/>
  <c r="Z12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Z21" i="11"/>
  <c r="X25" i="11"/>
  <c r="X29" i="11"/>
  <c r="X33" i="11"/>
  <c r="X34" i="11"/>
  <c r="Z13" i="13"/>
  <c r="N20" i="13"/>
  <c r="Z33" i="14"/>
  <c r="J36" i="13"/>
  <c r="J34" i="13"/>
  <c r="J33" i="13"/>
  <c r="J31" i="13"/>
  <c r="J29" i="13"/>
  <c r="J27" i="13"/>
  <c r="J25" i="13"/>
  <c r="N12" i="13"/>
  <c r="J24" i="13"/>
  <c r="J16" i="13"/>
  <c r="J21" i="13"/>
  <c r="J18" i="13"/>
  <c r="J22" i="13"/>
  <c r="H18" i="13"/>
  <c r="J15" i="13"/>
  <c r="J20" i="13"/>
  <c r="X13" i="13"/>
  <c r="Z15" i="13"/>
  <c r="X21" i="13"/>
  <c r="F36" i="14"/>
  <c r="F34" i="14"/>
  <c r="F33" i="14"/>
  <c r="F31" i="14"/>
  <c r="F29" i="14"/>
  <c r="F27" i="14"/>
  <c r="F25" i="14"/>
  <c r="D18" i="14"/>
  <c r="F15" i="14"/>
  <c r="L12" i="14"/>
  <c r="F24" i="14"/>
  <c r="F21" i="14"/>
  <c r="F18" i="14"/>
  <c r="F22" i="14"/>
  <c r="F20" i="14"/>
  <c r="F16" i="14"/>
  <c r="X16" i="14"/>
  <c r="X20" i="14"/>
  <c r="N13" i="16"/>
  <c r="N22" i="16"/>
  <c r="N24" i="16"/>
  <c r="L13" i="17"/>
  <c r="N21" i="17"/>
  <c r="L25" i="17"/>
  <c r="L29" i="17"/>
  <c r="L33" i="17"/>
  <c r="L34" i="17"/>
  <c r="L16" i="19"/>
  <c r="L20" i="19"/>
  <c r="V21" i="20"/>
  <c r="V20" i="20"/>
  <c r="V18" i="20"/>
  <c r="V16" i="20"/>
  <c r="T18" i="20"/>
  <c r="V15" i="20"/>
  <c r="Z12" i="20"/>
  <c r="V24" i="20"/>
  <c r="V22" i="20"/>
  <c r="V36" i="20"/>
  <c r="V34" i="20"/>
  <c r="V33" i="20"/>
  <c r="V31" i="20"/>
  <c r="V29" i="20"/>
  <c r="V27" i="20"/>
  <c r="V25" i="20"/>
  <c r="L15" i="20"/>
  <c r="Z25" i="20"/>
  <c r="Z29" i="20"/>
  <c r="Z33" i="20"/>
  <c r="Z34" i="20"/>
  <c r="X20" i="23"/>
  <c r="J24" i="25"/>
  <c r="J22" i="25"/>
  <c r="J21" i="25"/>
  <c r="J20" i="25"/>
  <c r="J18" i="25"/>
  <c r="J16" i="25"/>
  <c r="H18" i="25"/>
  <c r="J15" i="25"/>
  <c r="N12" i="25"/>
  <c r="J36" i="25"/>
  <c r="J34" i="25"/>
  <c r="J33" i="25"/>
  <c r="J31" i="25"/>
  <c r="J29" i="25"/>
  <c r="J27" i="25"/>
  <c r="J25" i="25"/>
  <c r="X21" i="25"/>
  <c r="N16" i="28"/>
  <c r="N33" i="28"/>
  <c r="Z21" i="13"/>
  <c r="X25" i="13"/>
  <c r="X29" i="13"/>
  <c r="X33" i="13"/>
  <c r="X34" i="13"/>
  <c r="Z13" i="14"/>
  <c r="Z16" i="14"/>
  <c r="Z20" i="14"/>
  <c r="X22" i="14"/>
  <c r="X24" i="14"/>
  <c r="F24" i="16"/>
  <c r="F22" i="16"/>
  <c r="F21" i="16"/>
  <c r="F20" i="16"/>
  <c r="F18" i="16"/>
  <c r="F16" i="16"/>
  <c r="D18" i="16"/>
  <c r="F15" i="16"/>
  <c r="L12" i="16"/>
  <c r="F36" i="16"/>
  <c r="F34" i="16"/>
  <c r="F33" i="16"/>
  <c r="F31" i="16"/>
  <c r="F29" i="16"/>
  <c r="F27" i="16"/>
  <c r="F25" i="16"/>
  <c r="X16" i="16"/>
  <c r="X20" i="16"/>
  <c r="X15" i="17"/>
  <c r="N25" i="17"/>
  <c r="N29" i="17"/>
  <c r="N33" i="17"/>
  <c r="N34" i="17"/>
  <c r="N16" i="19"/>
  <c r="N20" i="19"/>
  <c r="L22" i="19"/>
  <c r="L24" i="19"/>
  <c r="N15" i="20"/>
  <c r="L21" i="20"/>
  <c r="F24" i="23"/>
  <c r="F22" i="23"/>
  <c r="F21" i="23"/>
  <c r="F20" i="23"/>
  <c r="F18" i="23"/>
  <c r="F16" i="23"/>
  <c r="D18" i="23"/>
  <c r="F15" i="23"/>
  <c r="L12" i="23"/>
  <c r="F36" i="23"/>
  <c r="F34" i="23"/>
  <c r="F33" i="23"/>
  <c r="F31" i="23"/>
  <c r="F29" i="23"/>
  <c r="F27" i="23"/>
  <c r="F25" i="23"/>
  <c r="X13" i="25"/>
  <c r="X16" i="26"/>
  <c r="P18" i="13"/>
  <c r="R15" i="13"/>
  <c r="R36" i="13"/>
  <c r="R34" i="13"/>
  <c r="R33" i="13"/>
  <c r="R31" i="13"/>
  <c r="R29" i="13"/>
  <c r="R27" i="13"/>
  <c r="R25" i="13"/>
  <c r="R24" i="13"/>
  <c r="R22" i="13"/>
  <c r="R20" i="13"/>
  <c r="R18" i="13"/>
  <c r="R16" i="13"/>
  <c r="R21" i="13"/>
  <c r="X12" i="13"/>
  <c r="Z22" i="13"/>
  <c r="Z24" i="13"/>
  <c r="Z21" i="14"/>
  <c r="X25" i="14"/>
  <c r="X29" i="14"/>
  <c r="X33" i="14"/>
  <c r="X34" i="14"/>
  <c r="J20" i="16"/>
  <c r="J18" i="16"/>
  <c r="J16" i="16"/>
  <c r="H18" i="16"/>
  <c r="J15" i="16"/>
  <c r="N12" i="16"/>
  <c r="J36" i="16"/>
  <c r="J34" i="16"/>
  <c r="J33" i="16"/>
  <c r="J31" i="16"/>
  <c r="J29" i="16"/>
  <c r="J27" i="16"/>
  <c r="J25" i="16"/>
  <c r="J21" i="16"/>
  <c r="J24" i="16"/>
  <c r="J22" i="16"/>
  <c r="X13" i="16"/>
  <c r="Z15" i="16"/>
  <c r="X21" i="16"/>
  <c r="F21" i="17"/>
  <c r="F20" i="17"/>
  <c r="F18" i="17"/>
  <c r="F16" i="17"/>
  <c r="D18" i="17"/>
  <c r="F15" i="17"/>
  <c r="L12" i="17"/>
  <c r="F24" i="17"/>
  <c r="F22" i="17"/>
  <c r="F29" i="17"/>
  <c r="F27" i="17"/>
  <c r="F25" i="17"/>
  <c r="F36" i="17"/>
  <c r="F34" i="17"/>
  <c r="F31" i="17"/>
  <c r="F33" i="17"/>
  <c r="X16" i="17"/>
  <c r="X20" i="17"/>
  <c r="L13" i="19"/>
  <c r="N21" i="19"/>
  <c r="L25" i="19"/>
  <c r="L29" i="19"/>
  <c r="L33" i="19"/>
  <c r="L34" i="19"/>
  <c r="N16" i="20"/>
  <c r="N20" i="20"/>
  <c r="L22" i="20"/>
  <c r="L24" i="20"/>
  <c r="X20" i="22"/>
  <c r="N33" i="23"/>
  <c r="Z13" i="25"/>
  <c r="X22" i="25"/>
  <c r="F24" i="29"/>
  <c r="F22" i="29"/>
  <c r="F31" i="29"/>
  <c r="F15" i="29"/>
  <c r="F27" i="29"/>
  <c r="F20" i="29"/>
  <c r="F36" i="29"/>
  <c r="F33" i="29"/>
  <c r="F16" i="29"/>
  <c r="F29" i="29"/>
  <c r="F21" i="29"/>
  <c r="F34" i="29"/>
  <c r="D18" i="29"/>
  <c r="F18" i="29"/>
  <c r="L12" i="29"/>
  <c r="F25" i="29"/>
  <c r="Z13" i="16"/>
  <c r="Z16" i="16"/>
  <c r="Z20" i="16"/>
  <c r="X22" i="16"/>
  <c r="X24" i="16"/>
  <c r="H18" i="17"/>
  <c r="J15" i="17"/>
  <c r="N12" i="17"/>
  <c r="J36" i="17"/>
  <c r="J34" i="17"/>
  <c r="J33" i="17"/>
  <c r="J31" i="17"/>
  <c r="J29" i="17"/>
  <c r="J27" i="17"/>
  <c r="J25" i="17"/>
  <c r="J24" i="17"/>
  <c r="J22" i="17"/>
  <c r="J20" i="17"/>
  <c r="J18" i="17"/>
  <c r="J16" i="17"/>
  <c r="J21" i="17"/>
  <c r="X13" i="17"/>
  <c r="Z15" i="17"/>
  <c r="X21" i="17"/>
  <c r="N13" i="19"/>
  <c r="N22" i="19"/>
  <c r="N24" i="19"/>
  <c r="L13" i="20"/>
  <c r="N21" i="20"/>
  <c r="L25" i="20"/>
  <c r="L29" i="20"/>
  <c r="L33" i="20"/>
  <c r="L34" i="20"/>
  <c r="Z15" i="25"/>
  <c r="X16" i="34"/>
  <c r="Z21" i="16"/>
  <c r="X25" i="16"/>
  <c r="X29" i="16"/>
  <c r="X33" i="16"/>
  <c r="X34" i="16"/>
  <c r="Z13" i="17"/>
  <c r="Z16" i="17"/>
  <c r="Z20" i="17"/>
  <c r="X22" i="17"/>
  <c r="X24" i="17"/>
  <c r="X15" i="19"/>
  <c r="N25" i="19"/>
  <c r="N29" i="19"/>
  <c r="N33" i="19"/>
  <c r="N34" i="19"/>
  <c r="N13" i="20"/>
  <c r="N22" i="20"/>
  <c r="N24" i="20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L12" i="22"/>
  <c r="X15" i="23"/>
  <c r="N34" i="23"/>
  <c r="X24" i="25"/>
  <c r="L24" i="28"/>
  <c r="N15" i="13"/>
  <c r="L21" i="13"/>
  <c r="L16" i="14"/>
  <c r="L20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L12" i="19"/>
  <c r="F36" i="19"/>
  <c r="F34" i="19"/>
  <c r="F33" i="19"/>
  <c r="F31" i="19"/>
  <c r="F29" i="19"/>
  <c r="F27" i="19"/>
  <c r="F25" i="19"/>
  <c r="F24" i="19"/>
  <c r="F22" i="19"/>
  <c r="F21" i="19"/>
  <c r="D18" i="19"/>
  <c r="F15" i="19"/>
  <c r="F20" i="19"/>
  <c r="F18" i="19"/>
  <c r="F16" i="19"/>
  <c r="X16" i="19"/>
  <c r="X20" i="19"/>
  <c r="X15" i="20"/>
  <c r="N25" i="20"/>
  <c r="N29" i="20"/>
  <c r="N33" i="20"/>
  <c r="N34" i="20"/>
  <c r="J21" i="22"/>
  <c r="J20" i="22"/>
  <c r="J18" i="22"/>
  <c r="J16" i="22"/>
  <c r="H18" i="22"/>
  <c r="J15" i="22"/>
  <c r="N12" i="22"/>
  <c r="J24" i="22"/>
  <c r="J22" i="22"/>
  <c r="J36" i="22"/>
  <c r="J25" i="22"/>
  <c r="J34" i="22"/>
  <c r="J33" i="22"/>
  <c r="J31" i="22"/>
  <c r="J29" i="22"/>
  <c r="J27" i="22"/>
  <c r="X21" i="22"/>
  <c r="X20" i="26"/>
  <c r="X15" i="29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X16" i="20"/>
  <c r="X20" i="20"/>
  <c r="N25" i="23"/>
  <c r="Z16" i="25"/>
  <c r="X25" i="28"/>
  <c r="N34" i="29"/>
  <c r="L24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X13" i="22"/>
  <c r="X16" i="23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N29" i="35"/>
  <c r="N15" i="16"/>
  <c r="L21" i="16"/>
  <c r="L16" i="17"/>
  <c r="L20" i="17"/>
  <c r="Z21" i="19"/>
  <c r="X25" i="19"/>
  <c r="X29" i="19"/>
  <c r="X33" i="19"/>
  <c r="X34" i="19"/>
  <c r="Z13" i="20"/>
  <c r="Z16" i="20"/>
  <c r="Z20" i="20"/>
  <c r="X22" i="20"/>
  <c r="X24" i="20"/>
  <c r="J21" i="26"/>
  <c r="J20" i="26"/>
  <c r="J18" i="26"/>
  <c r="J16" i="26"/>
  <c r="H18" i="26"/>
  <c r="J15" i="26"/>
  <c r="N12" i="26"/>
  <c r="J24" i="26"/>
  <c r="J22" i="26"/>
  <c r="J33" i="26"/>
  <c r="J31" i="26"/>
  <c r="J29" i="26"/>
  <c r="J27" i="26"/>
  <c r="J36" i="26"/>
  <c r="J25" i="26"/>
  <c r="J34" i="26"/>
  <c r="X21" i="26"/>
  <c r="L13" i="28"/>
  <c r="Z20" i="29"/>
  <c r="N22" i="14"/>
  <c r="N24" i="14"/>
  <c r="N16" i="16"/>
  <c r="N20" i="16"/>
  <c r="L22" i="16"/>
  <c r="L24" i="16"/>
  <c r="N15" i="17"/>
  <c r="L21" i="17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X12" i="19"/>
  <c r="Z22" i="19"/>
  <c r="Z24" i="19"/>
  <c r="Z21" i="20"/>
  <c r="X25" i="20"/>
  <c r="X29" i="20"/>
  <c r="X33" i="20"/>
  <c r="X34" i="20"/>
  <c r="Z15" i="22"/>
  <c r="F20" i="13"/>
  <c r="F18" i="13"/>
  <c r="F16" i="13"/>
  <c r="F36" i="13"/>
  <c r="F33" i="13"/>
  <c r="F24" i="13"/>
  <c r="F29" i="13"/>
  <c r="F21" i="13"/>
  <c r="F25" i="13"/>
  <c r="F34" i="13"/>
  <c r="L12" i="13"/>
  <c r="D18" i="13"/>
  <c r="F31" i="13"/>
  <c r="F22" i="13"/>
  <c r="F27" i="13"/>
  <c r="F15" i="13"/>
  <c r="X16" i="13"/>
  <c r="X20" i="13"/>
  <c r="X15" i="14"/>
  <c r="N25" i="14"/>
  <c r="N29" i="14"/>
  <c r="N33" i="14"/>
  <c r="N34" i="14"/>
  <c r="L13" i="16"/>
  <c r="N21" i="16"/>
  <c r="L25" i="16"/>
  <c r="L29" i="16"/>
  <c r="L33" i="16"/>
  <c r="L34" i="16"/>
  <c r="N16" i="17"/>
  <c r="N20" i="17"/>
  <c r="L22" i="17"/>
  <c r="L24" i="17"/>
  <c r="V24" i="19"/>
  <c r="V22" i="19"/>
  <c r="V21" i="19"/>
  <c r="V20" i="19"/>
  <c r="V18" i="19"/>
  <c r="V16" i="19"/>
  <c r="T18" i="19"/>
  <c r="V15" i="19"/>
  <c r="V36" i="19"/>
  <c r="V34" i="19"/>
  <c r="V33" i="19"/>
  <c r="V31" i="19"/>
  <c r="V29" i="19"/>
  <c r="V27" i="19"/>
  <c r="V25" i="19"/>
  <c r="Z12" i="19"/>
  <c r="L15" i="19"/>
  <c r="Z25" i="19"/>
  <c r="Z29" i="19"/>
  <c r="Z33" i="19"/>
  <c r="Z34" i="19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X12" i="20"/>
  <c r="Z22" i="20"/>
  <c r="Z24" i="20"/>
  <c r="X16" i="22"/>
  <c r="N29" i="23"/>
  <c r="Z20" i="25"/>
  <c r="X13" i="26"/>
  <c r="L33" i="28"/>
  <c r="X15" i="22"/>
  <c r="N25" i="22"/>
  <c r="N29" i="22"/>
  <c r="N33" i="22"/>
  <c r="N34" i="22"/>
  <c r="N13" i="23"/>
  <c r="N22" i="23"/>
  <c r="N24" i="23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L12" i="25"/>
  <c r="X16" i="25"/>
  <c r="X20" i="25"/>
  <c r="X15" i="26"/>
  <c r="N25" i="26"/>
  <c r="N29" i="26"/>
  <c r="N33" i="26"/>
  <c r="N34" i="26"/>
  <c r="N21" i="28"/>
  <c r="N29" i="28"/>
  <c r="X34" i="28"/>
  <c r="X20" i="29"/>
  <c r="N22" i="29"/>
  <c r="Z13" i="22"/>
  <c r="Z16" i="22"/>
  <c r="Z20" i="22"/>
  <c r="X22" i="22"/>
  <c r="X24" i="22"/>
  <c r="J20" i="23"/>
  <c r="J18" i="23"/>
  <c r="J16" i="23"/>
  <c r="H18" i="23"/>
  <c r="J15" i="23"/>
  <c r="N12" i="23"/>
  <c r="J21" i="23"/>
  <c r="J27" i="23"/>
  <c r="J36" i="23"/>
  <c r="J25" i="23"/>
  <c r="J34" i="23"/>
  <c r="J24" i="23"/>
  <c r="J33" i="23"/>
  <c r="J22" i="23"/>
  <c r="J31" i="23"/>
  <c r="J29" i="23"/>
  <c r="X13" i="23"/>
  <c r="Z15" i="23"/>
  <c r="X21" i="23"/>
  <c r="Z21" i="25"/>
  <c r="X25" i="25"/>
  <c r="X29" i="25"/>
  <c r="X33" i="25"/>
  <c r="X34" i="25"/>
  <c r="Z13" i="26"/>
  <c r="Z16" i="26"/>
  <c r="Z20" i="26"/>
  <c r="X22" i="26"/>
  <c r="X24" i="26"/>
  <c r="X21" i="28"/>
  <c r="X29" i="28"/>
  <c r="L21" i="29"/>
  <c r="X22" i="29"/>
  <c r="N25" i="29"/>
  <c r="N15" i="31"/>
  <c r="X20" i="34"/>
  <c r="N33" i="35"/>
  <c r="Z21" i="22"/>
  <c r="X25" i="22"/>
  <c r="X29" i="22"/>
  <c r="X33" i="22"/>
  <c r="X34" i="22"/>
  <c r="Z13" i="23"/>
  <c r="Z16" i="23"/>
  <c r="Z20" i="23"/>
  <c r="X22" i="23"/>
  <c r="X24" i="23"/>
  <c r="X12" i="25"/>
  <c r="R36" i="25"/>
  <c r="R34" i="25"/>
  <c r="R33" i="25"/>
  <c r="R31" i="25"/>
  <c r="R29" i="25"/>
  <c r="R27" i="25"/>
  <c r="R25" i="25"/>
  <c r="R24" i="25"/>
  <c r="R22" i="25"/>
  <c r="P18" i="25"/>
  <c r="R15" i="25"/>
  <c r="R20" i="25"/>
  <c r="R18" i="25"/>
  <c r="R16" i="25"/>
  <c r="R21" i="25"/>
  <c r="Z22" i="25"/>
  <c r="Z24" i="25"/>
  <c r="Z21" i="26"/>
  <c r="X25" i="26"/>
  <c r="X29" i="26"/>
  <c r="X33" i="26"/>
  <c r="X34" i="26"/>
  <c r="X13" i="28"/>
  <c r="N20" i="28"/>
  <c r="Z21" i="28"/>
  <c r="X15" i="35"/>
  <c r="N34" i="35"/>
  <c r="X12" i="22"/>
  <c r="R36" i="22"/>
  <c r="R34" i="22"/>
  <c r="R33" i="22"/>
  <c r="R31" i="22"/>
  <c r="R29" i="22"/>
  <c r="R27" i="22"/>
  <c r="R25" i="22"/>
  <c r="R24" i="22"/>
  <c r="R22" i="22"/>
  <c r="R21" i="22"/>
  <c r="R15" i="22"/>
  <c r="R20" i="22"/>
  <c r="R18" i="22"/>
  <c r="R16" i="22"/>
  <c r="P18" i="22"/>
  <c r="Z22" i="22"/>
  <c r="Z24" i="22"/>
  <c r="Z21" i="23"/>
  <c r="X25" i="23"/>
  <c r="X29" i="23"/>
  <c r="X33" i="23"/>
  <c r="X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P18" i="26"/>
  <c r="R16" i="26"/>
  <c r="R15" i="26"/>
  <c r="Z22" i="26"/>
  <c r="Z24" i="26"/>
  <c r="X16" i="28"/>
  <c r="X33" i="28"/>
  <c r="L16" i="29"/>
  <c r="N29" i="29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N15" i="28"/>
  <c r="L22" i="28"/>
  <c r="N13" i="29"/>
  <c r="L24" i="29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N15" i="25"/>
  <c r="L21" i="25"/>
  <c r="L16" i="26"/>
  <c r="L20" i="26"/>
  <c r="X20" i="28"/>
  <c r="N16" i="29"/>
  <c r="L20" i="29"/>
  <c r="N24" i="29"/>
  <c r="N33" i="29"/>
  <c r="L21" i="31"/>
  <c r="N15" i="22"/>
  <c r="L21" i="22"/>
  <c r="L16" i="23"/>
  <c r="L20" i="23"/>
  <c r="N16" i="25"/>
  <c r="N20" i="25"/>
  <c r="L22" i="25"/>
  <c r="L24" i="25"/>
  <c r="N15" i="26"/>
  <c r="L21" i="26"/>
  <c r="F36" i="28"/>
  <c r="F34" i="28"/>
  <c r="F33" i="28"/>
  <c r="F31" i="28"/>
  <c r="F29" i="28"/>
  <c r="F27" i="28"/>
  <c r="F25" i="28"/>
  <c r="D18" i="28"/>
  <c r="F15" i="28"/>
  <c r="L12" i="28"/>
  <c r="F21" i="28"/>
  <c r="F18" i="28"/>
  <c r="F22" i="28"/>
  <c r="F20" i="28"/>
  <c r="F16" i="28"/>
  <c r="F24" i="28"/>
  <c r="L34" i="28"/>
  <c r="L16" i="32"/>
  <c r="N16" i="22"/>
  <c r="N20" i="22"/>
  <c r="L22" i="22"/>
  <c r="L24" i="22"/>
  <c r="N15" i="23"/>
  <c r="L21" i="23"/>
  <c r="L13" i="25"/>
  <c r="N21" i="25"/>
  <c r="L25" i="25"/>
  <c r="L29" i="25"/>
  <c r="L33" i="25"/>
  <c r="L34" i="25"/>
  <c r="N16" i="26"/>
  <c r="N20" i="26"/>
  <c r="L22" i="26"/>
  <c r="L24" i="26"/>
  <c r="J21" i="28"/>
  <c r="J25" i="28"/>
  <c r="J34" i="28"/>
  <c r="J18" i="28"/>
  <c r="N12" i="28"/>
  <c r="H18" i="28"/>
  <c r="J31" i="28"/>
  <c r="J22" i="28"/>
  <c r="J15" i="28"/>
  <c r="J27" i="28"/>
  <c r="J36" i="28"/>
  <c r="J20" i="28"/>
  <c r="J33" i="28"/>
  <c r="J24" i="28"/>
  <c r="J16" i="28"/>
  <c r="J29" i="28"/>
  <c r="X15" i="28"/>
  <c r="L25" i="28"/>
  <c r="N34" i="28"/>
  <c r="Z13" i="29"/>
  <c r="N20" i="29"/>
  <c r="L13" i="22"/>
  <c r="N21" i="22"/>
  <c r="L25" i="22"/>
  <c r="L29" i="22"/>
  <c r="L33" i="22"/>
  <c r="L34" i="22"/>
  <c r="N16" i="23"/>
  <c r="N20" i="23"/>
  <c r="L22" i="23"/>
  <c r="L24" i="23"/>
  <c r="N13" i="25"/>
  <c r="N22" i="25"/>
  <c r="N24" i="25"/>
  <c r="L13" i="26"/>
  <c r="N21" i="26"/>
  <c r="L25" i="26"/>
  <c r="L29" i="26"/>
  <c r="L33" i="26"/>
  <c r="L34" i="26"/>
  <c r="L21" i="28"/>
  <c r="N25" i="28"/>
  <c r="X16" i="29"/>
  <c r="X24" i="29"/>
  <c r="L20" i="32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N13" i="22"/>
  <c r="N22" i="22"/>
  <c r="N24" i="22"/>
  <c r="L13" i="23"/>
  <c r="N21" i="23"/>
  <c r="L25" i="23"/>
  <c r="L29" i="23"/>
  <c r="L33" i="23"/>
  <c r="L34" i="23"/>
  <c r="X15" i="25"/>
  <c r="N25" i="25"/>
  <c r="N29" i="25"/>
  <c r="N33" i="25"/>
  <c r="N34" i="25"/>
  <c r="N13" i="26"/>
  <c r="N22" i="26"/>
  <c r="N24" i="26"/>
  <c r="Z15" i="28"/>
  <c r="L29" i="28"/>
  <c r="N15" i="29"/>
  <c r="Z16" i="29"/>
  <c r="L22" i="29"/>
  <c r="N25" i="35"/>
  <c r="Z13" i="28"/>
  <c r="Z16" i="28"/>
  <c r="Z20" i="28"/>
  <c r="X22" i="28"/>
  <c r="X24" i="28"/>
  <c r="J20" i="29"/>
  <c r="J18" i="29"/>
  <c r="J16" i="29"/>
  <c r="N12" i="29"/>
  <c r="J27" i="29"/>
  <c r="J36" i="29"/>
  <c r="J33" i="29"/>
  <c r="J24" i="29"/>
  <c r="J29" i="29"/>
  <c r="J21" i="29"/>
  <c r="J25" i="29"/>
  <c r="J15" i="29"/>
  <c r="J22" i="29"/>
  <c r="J34" i="29"/>
  <c r="H18" i="29"/>
  <c r="J31" i="29"/>
  <c r="X13" i="29"/>
  <c r="Z15" i="29"/>
  <c r="X21" i="29"/>
  <c r="L16" i="31"/>
  <c r="L20" i="31"/>
  <c r="V21" i="32"/>
  <c r="V20" i="32"/>
  <c r="V18" i="32"/>
  <c r="V16" i="32"/>
  <c r="T18" i="32"/>
  <c r="V15" i="32"/>
  <c r="Z12" i="32"/>
  <c r="V24" i="32"/>
  <c r="V22" i="32"/>
  <c r="V36" i="32"/>
  <c r="V34" i="32"/>
  <c r="V33" i="32"/>
  <c r="V31" i="32"/>
  <c r="V29" i="32"/>
  <c r="V27" i="32"/>
  <c r="V25" i="32"/>
  <c r="L15" i="32"/>
  <c r="Z25" i="32"/>
  <c r="Z29" i="32"/>
  <c r="Z33" i="32"/>
  <c r="Z34" i="32"/>
  <c r="X15" i="34"/>
  <c r="N25" i="34"/>
  <c r="N29" i="34"/>
  <c r="N33" i="34"/>
  <c r="N34" i="34"/>
  <c r="N13" i="35"/>
  <c r="N22" i="35"/>
  <c r="N24" i="35"/>
  <c r="L24" i="38"/>
  <c r="X22" i="40"/>
  <c r="Z16" i="41"/>
  <c r="F36" i="37"/>
  <c r="F34" i="37"/>
  <c r="F33" i="37"/>
  <c r="F31" i="37"/>
  <c r="F29" i="37"/>
  <c r="F27" i="37"/>
  <c r="F25" i="37"/>
  <c r="F21" i="37"/>
  <c r="F20" i="37"/>
  <c r="F18" i="37"/>
  <c r="F16" i="37"/>
  <c r="L12" i="37"/>
  <c r="D18" i="37"/>
  <c r="F22" i="37"/>
  <c r="F15" i="37"/>
  <c r="F24" i="37"/>
  <c r="X24" i="40"/>
  <c r="X12" i="28"/>
  <c r="R36" i="28"/>
  <c r="R34" i="28"/>
  <c r="R33" i="28"/>
  <c r="R31" i="28"/>
  <c r="R29" i="28"/>
  <c r="R27" i="28"/>
  <c r="R25" i="28"/>
  <c r="R21" i="28"/>
  <c r="R22" i="28"/>
  <c r="R15" i="28"/>
  <c r="R20" i="28"/>
  <c r="R24" i="28"/>
  <c r="R16" i="28"/>
  <c r="P18" i="28"/>
  <c r="R18" i="28"/>
  <c r="Z22" i="28"/>
  <c r="Z24" i="28"/>
  <c r="Z21" i="29"/>
  <c r="X25" i="29"/>
  <c r="X29" i="29"/>
  <c r="X33" i="29"/>
  <c r="X34" i="29"/>
  <c r="N16" i="31"/>
  <c r="N20" i="31"/>
  <c r="L22" i="31"/>
  <c r="L24" i="31"/>
  <c r="N15" i="32"/>
  <c r="L21" i="32"/>
  <c r="J21" i="34"/>
  <c r="J20" i="34"/>
  <c r="J18" i="34"/>
  <c r="J16" i="34"/>
  <c r="H18" i="34"/>
  <c r="J15" i="34"/>
  <c r="N12" i="34"/>
  <c r="J24" i="34"/>
  <c r="J22" i="34"/>
  <c r="J33" i="34"/>
  <c r="J31" i="34"/>
  <c r="J29" i="34"/>
  <c r="J27" i="34"/>
  <c r="J25" i="34"/>
  <c r="J34" i="34"/>
  <c r="J36" i="34"/>
  <c r="X13" i="34"/>
  <c r="Z15" i="34"/>
  <c r="X21" i="34"/>
  <c r="F24" i="35"/>
  <c r="F22" i="35"/>
  <c r="F21" i="35"/>
  <c r="F20" i="35"/>
  <c r="F18" i="35"/>
  <c r="F16" i="35"/>
  <c r="D18" i="35"/>
  <c r="F15" i="35"/>
  <c r="L12" i="35"/>
  <c r="F36" i="35"/>
  <c r="F34" i="35"/>
  <c r="F33" i="35"/>
  <c r="F31" i="35"/>
  <c r="F29" i="35"/>
  <c r="F27" i="35"/>
  <c r="F25" i="35"/>
  <c r="X16" i="35"/>
  <c r="X20" i="35"/>
  <c r="L20" i="37"/>
  <c r="Z12" i="38"/>
  <c r="V36" i="38"/>
  <c r="V34" i="38"/>
  <c r="V33" i="38"/>
  <c r="V31" i="38"/>
  <c r="V29" i="38"/>
  <c r="V27" i="38"/>
  <c r="V25" i="38"/>
  <c r="V21" i="38"/>
  <c r="V20" i="38"/>
  <c r="V18" i="38"/>
  <c r="V16" i="38"/>
  <c r="T18" i="38"/>
  <c r="V15" i="38"/>
  <c r="V22" i="38"/>
  <c r="V24" i="38"/>
  <c r="V36" i="28"/>
  <c r="V34" i="28"/>
  <c r="V33" i="28"/>
  <c r="V31" i="28"/>
  <c r="V29" i="28"/>
  <c r="V27" i="28"/>
  <c r="V25" i="28"/>
  <c r="V24" i="28"/>
  <c r="V22" i="28"/>
  <c r="V21" i="28"/>
  <c r="T18" i="28"/>
  <c r="V15" i="28"/>
  <c r="Z12" i="28"/>
  <c r="V20" i="28"/>
  <c r="V16" i="28"/>
  <c r="V18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0" i="29"/>
  <c r="R18" i="29"/>
  <c r="R16" i="29"/>
  <c r="R21" i="29"/>
  <c r="P18" i="29"/>
  <c r="R15" i="29"/>
  <c r="X12" i="29"/>
  <c r="Z22" i="29"/>
  <c r="Z24" i="29"/>
  <c r="L13" i="31"/>
  <c r="N21" i="31"/>
  <c r="L25" i="31"/>
  <c r="L29" i="31"/>
  <c r="L33" i="31"/>
  <c r="L34" i="31"/>
  <c r="N16" i="32"/>
  <c r="N20" i="32"/>
  <c r="L22" i="32"/>
  <c r="L24" i="32"/>
  <c r="Z13" i="34"/>
  <c r="Z16" i="34"/>
  <c r="Z20" i="34"/>
  <c r="X22" i="34"/>
  <c r="X24" i="34"/>
  <c r="J20" i="35"/>
  <c r="J18" i="35"/>
  <c r="J16" i="35"/>
  <c r="H18" i="35"/>
  <c r="J15" i="35"/>
  <c r="N12" i="35"/>
  <c r="J36" i="35"/>
  <c r="J34" i="35"/>
  <c r="J33" i="35"/>
  <c r="J31" i="35"/>
  <c r="J29" i="35"/>
  <c r="J27" i="35"/>
  <c r="J25" i="35"/>
  <c r="J21" i="35"/>
  <c r="J24" i="35"/>
  <c r="J22" i="35"/>
  <c r="X13" i="35"/>
  <c r="Z15" i="35"/>
  <c r="X21" i="35"/>
  <c r="L13" i="37"/>
  <c r="L25" i="37"/>
  <c r="L33" i="37"/>
  <c r="N20" i="38"/>
  <c r="L16" i="28"/>
  <c r="L20" i="28"/>
  <c r="V24" i="29"/>
  <c r="V22" i="29"/>
  <c r="V21" i="29"/>
  <c r="V20" i="29"/>
  <c r="V18" i="29"/>
  <c r="V16" i="29"/>
  <c r="V36" i="29"/>
  <c r="V33" i="29"/>
  <c r="V29" i="29"/>
  <c r="V25" i="29"/>
  <c r="T18" i="29"/>
  <c r="V34" i="29"/>
  <c r="V15" i="29"/>
  <c r="Z12" i="29"/>
  <c r="V31" i="29"/>
  <c r="V27" i="29"/>
  <c r="L15" i="29"/>
  <c r="Z25" i="29"/>
  <c r="Z29" i="29"/>
  <c r="Z33" i="29"/>
  <c r="Z34" i="29"/>
  <c r="N13" i="31"/>
  <c r="N22" i="31"/>
  <c r="N24" i="31"/>
  <c r="L13" i="32"/>
  <c r="N21" i="32"/>
  <c r="L25" i="32"/>
  <c r="L29" i="32"/>
  <c r="L33" i="32"/>
  <c r="L34" i="32"/>
  <c r="Z21" i="34"/>
  <c r="X25" i="34"/>
  <c r="X29" i="34"/>
  <c r="X33" i="34"/>
  <c r="X34" i="34"/>
  <c r="Z13" i="35"/>
  <c r="Z16" i="35"/>
  <c r="Z20" i="35"/>
  <c r="X22" i="35"/>
  <c r="X24" i="35"/>
  <c r="X20" i="37"/>
  <c r="N25" i="38"/>
  <c r="N33" i="38"/>
  <c r="X15" i="31"/>
  <c r="N25" i="31"/>
  <c r="N29" i="31"/>
  <c r="N33" i="31"/>
  <c r="N34" i="31"/>
  <c r="N13" i="32"/>
  <c r="N22" i="32"/>
  <c r="N24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R15" i="34"/>
  <c r="P18" i="34"/>
  <c r="Z22" i="34"/>
  <c r="Z24" i="34"/>
  <c r="Z21" i="35"/>
  <c r="X25" i="35"/>
  <c r="X29" i="35"/>
  <c r="X33" i="35"/>
  <c r="X34" i="35"/>
  <c r="L15" i="38"/>
  <c r="Z25" i="38"/>
  <c r="Z33" i="38"/>
  <c r="N25" i="41"/>
  <c r="L12" i="31"/>
  <c r="F36" i="31"/>
  <c r="F34" i="31"/>
  <c r="F33" i="31"/>
  <c r="F31" i="31"/>
  <c r="F29" i="31"/>
  <c r="F27" i="31"/>
  <c r="F25" i="31"/>
  <c r="F24" i="31"/>
  <c r="F22" i="31"/>
  <c r="F21" i="31"/>
  <c r="D18" i="31"/>
  <c r="F15" i="31"/>
  <c r="F20" i="31"/>
  <c r="F18" i="31"/>
  <c r="F16" i="31"/>
  <c r="X16" i="31"/>
  <c r="X20" i="31"/>
  <c r="X15" i="32"/>
  <c r="N25" i="32"/>
  <c r="N29" i="32"/>
  <c r="N33" i="32"/>
  <c r="N34" i="32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N21" i="37"/>
  <c r="L34" i="37"/>
  <c r="Z13" i="40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X15" i="38"/>
  <c r="N34" i="38"/>
  <c r="N13" i="28"/>
  <c r="N22" i="28"/>
  <c r="N24" i="28"/>
  <c r="L13" i="29"/>
  <c r="N21" i="29"/>
  <c r="L25" i="29"/>
  <c r="L29" i="29"/>
  <c r="L33" i="29"/>
  <c r="L34" i="29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X13" i="32"/>
  <c r="Z15" i="32"/>
  <c r="X21" i="32"/>
  <c r="N15" i="34"/>
  <c r="L21" i="34"/>
  <c r="L16" i="35"/>
  <c r="L20" i="35"/>
  <c r="L16" i="37"/>
  <c r="Z34" i="38"/>
  <c r="Z16" i="40"/>
  <c r="Z21" i="31"/>
  <c r="X25" i="31"/>
  <c r="X29" i="31"/>
  <c r="X33" i="31"/>
  <c r="X34" i="31"/>
  <c r="Z13" i="32"/>
  <c r="Z16" i="32"/>
  <c r="Z20" i="32"/>
  <c r="X22" i="32"/>
  <c r="X24" i="32"/>
  <c r="N16" i="34"/>
  <c r="N20" i="34"/>
  <c r="L22" i="34"/>
  <c r="L24" i="34"/>
  <c r="N15" i="35"/>
  <c r="L21" i="35"/>
  <c r="L29" i="37"/>
  <c r="N16" i="38"/>
  <c r="L22" i="38"/>
  <c r="J36" i="41"/>
  <c r="J34" i="41"/>
  <c r="J33" i="41"/>
  <c r="J31" i="41"/>
  <c r="J29" i="41"/>
  <c r="J27" i="41"/>
  <c r="J25" i="41"/>
  <c r="J16" i="41"/>
  <c r="J15" i="41"/>
  <c r="J18" i="41"/>
  <c r="J21" i="41"/>
  <c r="J20" i="41"/>
  <c r="H18" i="41"/>
  <c r="J22" i="41"/>
  <c r="J24" i="41"/>
  <c r="N12" i="4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X25" i="32"/>
  <c r="X29" i="32"/>
  <c r="X33" i="32"/>
  <c r="X34" i="32"/>
  <c r="L13" i="34"/>
  <c r="N21" i="34"/>
  <c r="L25" i="34"/>
  <c r="L29" i="34"/>
  <c r="L33" i="34"/>
  <c r="L34" i="34"/>
  <c r="N16" i="35"/>
  <c r="N20" i="35"/>
  <c r="L22" i="35"/>
  <c r="L24" i="35"/>
  <c r="X16" i="37"/>
  <c r="N29" i="38"/>
  <c r="Z20" i="40"/>
  <c r="X13" i="41"/>
  <c r="V24" i="31"/>
  <c r="V22" i="31"/>
  <c r="V21" i="31"/>
  <c r="V20" i="31"/>
  <c r="V18" i="31"/>
  <c r="V16" i="31"/>
  <c r="T18" i="31"/>
  <c r="V15" i="31"/>
  <c r="V36" i="31"/>
  <c r="V34" i="31"/>
  <c r="V33" i="31"/>
  <c r="V31" i="31"/>
  <c r="V29" i="31"/>
  <c r="V27" i="31"/>
  <c r="V25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N13" i="34"/>
  <c r="N22" i="34"/>
  <c r="N24" i="34"/>
  <c r="L13" i="35"/>
  <c r="N21" i="35"/>
  <c r="L25" i="35"/>
  <c r="L29" i="35"/>
  <c r="L33" i="35"/>
  <c r="L34" i="35"/>
  <c r="Z29" i="38"/>
  <c r="Z15" i="41"/>
  <c r="X15" i="37"/>
  <c r="N25" i="37"/>
  <c r="N29" i="37"/>
  <c r="N33" i="37"/>
  <c r="N34" i="37"/>
  <c r="N13" i="38"/>
  <c r="N22" i="38"/>
  <c r="N24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13" i="40"/>
  <c r="Z15" i="40"/>
  <c r="X21" i="40"/>
  <c r="F33" i="41"/>
  <c r="F27" i="41"/>
  <c r="F34" i="41"/>
  <c r="F29" i="41"/>
  <c r="F16" i="41"/>
  <c r="F15" i="41"/>
  <c r="F18" i="41"/>
  <c r="F21" i="41"/>
  <c r="F20" i="41"/>
  <c r="D18" i="41"/>
  <c r="F22" i="41"/>
  <c r="F36" i="41"/>
  <c r="F31" i="41"/>
  <c r="L12" i="41"/>
  <c r="F25" i="41"/>
  <c r="F24" i="41"/>
  <c r="L24" i="41"/>
  <c r="X15" i="43"/>
  <c r="N34" i="43"/>
  <c r="Z29" i="47"/>
  <c r="J21" i="37"/>
  <c r="H18" i="37"/>
  <c r="J15" i="37"/>
  <c r="N12" i="37"/>
  <c r="J24" i="37"/>
  <c r="J22" i="37"/>
  <c r="J36" i="37"/>
  <c r="J29" i="37"/>
  <c r="J16" i="37"/>
  <c r="J34" i="37"/>
  <c r="J27" i="37"/>
  <c r="J33" i="37"/>
  <c r="J25" i="37"/>
  <c r="J20" i="37"/>
  <c r="J31" i="37"/>
  <c r="J18" i="37"/>
  <c r="X13" i="37"/>
  <c r="Z15" i="37"/>
  <c r="X21" i="37"/>
  <c r="F24" i="38"/>
  <c r="F22" i="38"/>
  <c r="F20" i="38"/>
  <c r="F18" i="38"/>
  <c r="F16" i="38"/>
  <c r="D18" i="38"/>
  <c r="F15" i="38"/>
  <c r="L12" i="38"/>
  <c r="F36" i="38"/>
  <c r="F34" i="38"/>
  <c r="F33" i="38"/>
  <c r="F31" i="38"/>
  <c r="F29" i="38"/>
  <c r="F27" i="38"/>
  <c r="F25" i="38"/>
  <c r="F21" i="38"/>
  <c r="X16" i="38"/>
  <c r="X20" i="38"/>
  <c r="Z21" i="40"/>
  <c r="X25" i="40"/>
  <c r="X29" i="40"/>
  <c r="X33" i="40"/>
  <c r="X34" i="40"/>
  <c r="Z13" i="41"/>
  <c r="L22" i="41"/>
  <c r="N24" i="41"/>
  <c r="Z33" i="41"/>
  <c r="N33" i="46"/>
  <c r="Z13" i="37"/>
  <c r="Z16" i="37"/>
  <c r="Z20" i="37"/>
  <c r="X22" i="37"/>
  <c r="X24" i="37"/>
  <c r="J20" i="38"/>
  <c r="J18" i="38"/>
  <c r="J16" i="38"/>
  <c r="N12" i="38"/>
  <c r="J36" i="38"/>
  <c r="J34" i="38"/>
  <c r="J33" i="38"/>
  <c r="J31" i="38"/>
  <c r="J29" i="38"/>
  <c r="J27" i="38"/>
  <c r="J25" i="38"/>
  <c r="J21" i="38"/>
  <c r="J22" i="38"/>
  <c r="J15" i="38"/>
  <c r="J24" i="38"/>
  <c r="H18" i="38"/>
  <c r="X13" i="38"/>
  <c r="Z15" i="38"/>
  <c r="X21" i="38"/>
  <c r="P18" i="40"/>
  <c r="R15" i="40"/>
  <c r="X12" i="40"/>
  <c r="R36" i="40"/>
  <c r="R34" i="40"/>
  <c r="R33" i="40"/>
  <c r="R31" i="40"/>
  <c r="R29" i="40"/>
  <c r="R27" i="40"/>
  <c r="R25" i="40"/>
  <c r="R24" i="40"/>
  <c r="R22" i="40"/>
  <c r="R20" i="40"/>
  <c r="R18" i="40"/>
  <c r="R16" i="40"/>
  <c r="R21" i="40"/>
  <c r="Z22" i="40"/>
  <c r="Z24" i="40"/>
  <c r="L20" i="41"/>
  <c r="L21" i="41"/>
  <c r="N13" i="44"/>
  <c r="X34" i="46"/>
  <c r="Z21" i="37"/>
  <c r="X25" i="37"/>
  <c r="X29" i="37"/>
  <c r="X33" i="37"/>
  <c r="X34" i="37"/>
  <c r="Z13" i="38"/>
  <c r="Z16" i="38"/>
  <c r="Z20" i="38"/>
  <c r="X22" i="38"/>
  <c r="X24" i="38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18" i="41"/>
  <c r="R21" i="41"/>
  <c r="R20" i="41"/>
  <c r="P18" i="41"/>
  <c r="X12" i="41"/>
  <c r="R16" i="41"/>
  <c r="R15" i="41"/>
  <c r="N22" i="41"/>
  <c r="Z25" i="41"/>
  <c r="Z29" i="50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R15" i="37"/>
  <c r="X12" i="37"/>
  <c r="P18" i="37"/>
  <c r="Z22" i="37"/>
  <c r="Z24" i="37"/>
  <c r="Z21" i="38"/>
  <c r="X25" i="38"/>
  <c r="X29" i="38"/>
  <c r="X33" i="38"/>
  <c r="X34" i="38"/>
  <c r="L16" i="40"/>
  <c r="L20" i="40"/>
  <c r="V21" i="41"/>
  <c r="V34" i="41"/>
  <c r="V29" i="41"/>
  <c r="V22" i="41"/>
  <c r="V36" i="41"/>
  <c r="V31" i="41"/>
  <c r="V24" i="41"/>
  <c r="Z12" i="41"/>
  <c r="V25" i="41"/>
  <c r="V33" i="41"/>
  <c r="V27" i="41"/>
  <c r="V16" i="41"/>
  <c r="V15" i="41"/>
  <c r="V20" i="41"/>
  <c r="T18" i="41"/>
  <c r="V18" i="41"/>
  <c r="L15" i="41"/>
  <c r="L16" i="41"/>
  <c r="N20" i="41"/>
  <c r="N21" i="41"/>
  <c r="L29" i="41"/>
  <c r="N13" i="47"/>
  <c r="Z12" i="37"/>
  <c r="V24" i="37"/>
  <c r="V22" i="37"/>
  <c r="V21" i="37"/>
  <c r="V20" i="37"/>
  <c r="V18" i="37"/>
  <c r="V16" i="37"/>
  <c r="T18" i="37"/>
  <c r="V15" i="37"/>
  <c r="V36" i="37"/>
  <c r="V29" i="37"/>
  <c r="V34" i="37"/>
  <c r="V27" i="37"/>
  <c r="V33" i="37"/>
  <c r="V25" i="37"/>
  <c r="V31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Z22" i="38"/>
  <c r="Z24" i="38"/>
  <c r="N15" i="40"/>
  <c r="L21" i="40"/>
  <c r="X24" i="41"/>
  <c r="N16" i="40"/>
  <c r="N20" i="40"/>
  <c r="L22" i="40"/>
  <c r="L24" i="40"/>
  <c r="N15" i="41"/>
  <c r="N16" i="41"/>
  <c r="N29" i="41"/>
  <c r="N34" i="41"/>
  <c r="N25" i="43"/>
  <c r="N15" i="37"/>
  <c r="L21" i="37"/>
  <c r="L16" i="38"/>
  <c r="L20" i="38"/>
  <c r="L13" i="40"/>
  <c r="N21" i="40"/>
  <c r="L25" i="40"/>
  <c r="L29" i="40"/>
  <c r="L33" i="40"/>
  <c r="L34" i="40"/>
  <c r="X22" i="41"/>
  <c r="N16" i="37"/>
  <c r="N20" i="37"/>
  <c r="L22" i="37"/>
  <c r="L24" i="37"/>
  <c r="N15" i="38"/>
  <c r="L21" i="38"/>
  <c r="N13" i="40"/>
  <c r="N22" i="40"/>
  <c r="N24" i="40"/>
  <c r="L13" i="41"/>
  <c r="X20" i="41"/>
  <c r="X21" i="41"/>
  <c r="N29" i="43"/>
  <c r="N22" i="44"/>
  <c r="Z21" i="46"/>
  <c r="X15" i="40"/>
  <c r="N25" i="40"/>
  <c r="N29" i="40"/>
  <c r="N33" i="40"/>
  <c r="N34" i="40"/>
  <c r="N13" i="41"/>
  <c r="Z29" i="41"/>
  <c r="Z34" i="41"/>
  <c r="N24" i="44"/>
  <c r="N13" i="37"/>
  <c r="N22" i="37"/>
  <c r="N24" i="37"/>
  <c r="L13" i="38"/>
  <c r="N21" i="38"/>
  <c r="L25" i="38"/>
  <c r="L29" i="38"/>
  <c r="L33" i="38"/>
  <c r="L34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X16" i="41"/>
  <c r="Z20" i="41"/>
  <c r="L25" i="41"/>
  <c r="N33" i="41"/>
  <c r="N33" i="43"/>
  <c r="N25" i="46"/>
  <c r="N13" i="43"/>
  <c r="N22" i="43"/>
  <c r="N24" i="43"/>
  <c r="L13" i="44"/>
  <c r="N21" i="44"/>
  <c r="L25" i="44"/>
  <c r="L29" i="44"/>
  <c r="L33" i="44"/>
  <c r="L34" i="44"/>
  <c r="N13" i="46"/>
  <c r="Z15" i="46"/>
  <c r="X21" i="46"/>
  <c r="Z29" i="46"/>
  <c r="L13" i="47"/>
  <c r="N24" i="47"/>
  <c r="N33" i="47"/>
  <c r="L15" i="49"/>
  <c r="Z25" i="49"/>
  <c r="Z21" i="41"/>
  <c r="X25" i="41"/>
  <c r="X29" i="41"/>
  <c r="X33" i="41"/>
  <c r="X34" i="41"/>
  <c r="F24" i="43"/>
  <c r="F22" i="43"/>
  <c r="F21" i="43"/>
  <c r="F20" i="43"/>
  <c r="F18" i="43"/>
  <c r="F16" i="43"/>
  <c r="D18" i="43"/>
  <c r="F15" i="43"/>
  <c r="L12" i="43"/>
  <c r="F36" i="43"/>
  <c r="F34" i="43"/>
  <c r="F33" i="43"/>
  <c r="F31" i="43"/>
  <c r="F29" i="43"/>
  <c r="F27" i="43"/>
  <c r="F25" i="43"/>
  <c r="X16" i="43"/>
  <c r="X20" i="43"/>
  <c r="X15" i="44"/>
  <c r="N25" i="44"/>
  <c r="N29" i="44"/>
  <c r="N33" i="44"/>
  <c r="N34" i="44"/>
  <c r="X20" i="46"/>
  <c r="X24" i="47"/>
  <c r="R21" i="50"/>
  <c r="R20" i="50"/>
  <c r="R18" i="50"/>
  <c r="R16" i="50"/>
  <c r="P18" i="50"/>
  <c r="R15" i="50"/>
  <c r="X12" i="50"/>
  <c r="R24" i="50"/>
  <c r="R22" i="50"/>
  <c r="R27" i="50"/>
  <c r="R36" i="50"/>
  <c r="R25" i="50"/>
  <c r="R34" i="50"/>
  <c r="R33" i="50"/>
  <c r="R31" i="50"/>
  <c r="R29" i="50"/>
  <c r="Z22" i="41"/>
  <c r="Z24" i="41"/>
  <c r="J20" i="43"/>
  <c r="J18" i="43"/>
  <c r="J16" i="43"/>
  <c r="H18" i="43"/>
  <c r="J15" i="43"/>
  <c r="N12" i="43"/>
  <c r="J36" i="43"/>
  <c r="J34" i="43"/>
  <c r="J33" i="43"/>
  <c r="J31" i="43"/>
  <c r="J29" i="43"/>
  <c r="J27" i="43"/>
  <c r="J25" i="43"/>
  <c r="J21" i="43"/>
  <c r="J24" i="43"/>
  <c r="J22" i="43"/>
  <c r="X13" i="43"/>
  <c r="Z15" i="43"/>
  <c r="X21" i="43"/>
  <c r="F21" i="44"/>
  <c r="F20" i="44"/>
  <c r="F18" i="44"/>
  <c r="F16" i="44"/>
  <c r="D18" i="44"/>
  <c r="F15" i="44"/>
  <c r="L12" i="44"/>
  <c r="F24" i="44"/>
  <c r="F22" i="44"/>
  <c r="F25" i="44"/>
  <c r="F36" i="44"/>
  <c r="F34" i="44"/>
  <c r="F33" i="44"/>
  <c r="F31" i="44"/>
  <c r="F27" i="44"/>
  <c r="F29" i="44"/>
  <c r="X16" i="44"/>
  <c r="X20" i="44"/>
  <c r="X13" i="46"/>
  <c r="N24" i="46"/>
  <c r="Z34" i="46"/>
  <c r="X20" i="47"/>
  <c r="L22" i="47"/>
  <c r="Z24" i="47"/>
  <c r="Z33" i="47"/>
  <c r="T18" i="50"/>
  <c r="V15" i="50"/>
  <c r="Z12" i="50"/>
  <c r="V36" i="50"/>
  <c r="V34" i="50"/>
  <c r="V33" i="50"/>
  <c r="V31" i="50"/>
  <c r="V29" i="50"/>
  <c r="V27" i="50"/>
  <c r="V25" i="50"/>
  <c r="V20" i="50"/>
  <c r="V18" i="50"/>
  <c r="V16" i="50"/>
  <c r="V24" i="50"/>
  <c r="V22" i="50"/>
  <c r="V21" i="50"/>
  <c r="Z13" i="43"/>
  <c r="Z16" i="43"/>
  <c r="Z20" i="43"/>
  <c r="X22" i="43"/>
  <c r="X24" i="43"/>
  <c r="H18" i="44"/>
  <c r="J15" i="44"/>
  <c r="N12" i="44"/>
  <c r="J36" i="44"/>
  <c r="J34" i="44"/>
  <c r="J33" i="44"/>
  <c r="J31" i="44"/>
  <c r="J29" i="44"/>
  <c r="J27" i="44"/>
  <c r="J25" i="44"/>
  <c r="J24" i="44"/>
  <c r="J22" i="44"/>
  <c r="J20" i="44"/>
  <c r="J18" i="44"/>
  <c r="J16" i="44"/>
  <c r="J21" i="44"/>
  <c r="X13" i="44"/>
  <c r="Z15" i="44"/>
  <c r="X21" i="44"/>
  <c r="L16" i="46"/>
  <c r="X25" i="46"/>
  <c r="X33" i="46"/>
  <c r="Z13" i="47"/>
  <c r="Z20" i="47"/>
  <c r="L16" i="49"/>
  <c r="Z29" i="49"/>
  <c r="Z22" i="50"/>
  <c r="Z21" i="43"/>
  <c r="X25" i="43"/>
  <c r="X29" i="43"/>
  <c r="X33" i="43"/>
  <c r="X34" i="43"/>
  <c r="Z13" i="44"/>
  <c r="Z16" i="44"/>
  <c r="Z20" i="44"/>
  <c r="X22" i="44"/>
  <c r="X24" i="44"/>
  <c r="F20" i="46"/>
  <c r="F18" i="46"/>
  <c r="F16" i="46"/>
  <c r="L12" i="46"/>
  <c r="F21" i="46"/>
  <c r="F34" i="46"/>
  <c r="F27" i="46"/>
  <c r="F15" i="46"/>
  <c r="F36" i="46"/>
  <c r="F29" i="46"/>
  <c r="F22" i="46"/>
  <c r="F31" i="46"/>
  <c r="F24" i="46"/>
  <c r="F33" i="46"/>
  <c r="F25" i="46"/>
  <c r="D18" i="46"/>
  <c r="L29" i="46"/>
  <c r="N16" i="47"/>
  <c r="N22" i="47"/>
  <c r="L34" i="47"/>
  <c r="N16" i="49"/>
  <c r="L22" i="49"/>
  <c r="L15" i="50"/>
  <c r="Z33" i="50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H18" i="46"/>
  <c r="J15" i="46"/>
  <c r="J34" i="46"/>
  <c r="J27" i="46"/>
  <c r="J20" i="46"/>
  <c r="J21" i="46"/>
  <c r="J36" i="46"/>
  <c r="J29" i="46"/>
  <c r="J22" i="46"/>
  <c r="N12" i="46"/>
  <c r="J31" i="46"/>
  <c r="J16" i="46"/>
  <c r="J24" i="46"/>
  <c r="J33" i="46"/>
  <c r="J25" i="46"/>
  <c r="J18" i="46"/>
  <c r="L15" i="46"/>
  <c r="N22" i="46"/>
  <c r="Z25" i="46"/>
  <c r="Z33" i="46"/>
  <c r="D18" i="47"/>
  <c r="F15" i="47"/>
  <c r="F20" i="47"/>
  <c r="F18" i="47"/>
  <c r="F16" i="47"/>
  <c r="F33" i="47"/>
  <c r="F24" i="47"/>
  <c r="F29" i="47"/>
  <c r="F21" i="47"/>
  <c r="F25" i="47"/>
  <c r="L12" i="47"/>
  <c r="F34" i="47"/>
  <c r="F31" i="47"/>
  <c r="F22" i="47"/>
  <c r="F27" i="47"/>
  <c r="F36" i="47"/>
  <c r="L25" i="47"/>
  <c r="Z24" i="50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N29" i="46"/>
  <c r="L15" i="47"/>
  <c r="X22" i="47"/>
  <c r="N34" i="47"/>
  <c r="Z34" i="50"/>
  <c r="L33" i="41"/>
  <c r="L34" i="41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R21" i="46"/>
  <c r="R36" i="46"/>
  <c r="R29" i="46"/>
  <c r="R15" i="46"/>
  <c r="R22" i="46"/>
  <c r="X12" i="46"/>
  <c r="R16" i="46"/>
  <c r="R31" i="46"/>
  <c r="R24" i="46"/>
  <c r="R18" i="46"/>
  <c r="R33" i="46"/>
  <c r="R25" i="46"/>
  <c r="P18" i="46"/>
  <c r="R20" i="46"/>
  <c r="R34" i="46"/>
  <c r="R27" i="46"/>
  <c r="X16" i="46"/>
  <c r="N21" i="46"/>
  <c r="Z24" i="46"/>
  <c r="L34" i="46"/>
  <c r="Z22" i="47"/>
  <c r="N25" i="47"/>
  <c r="L29" i="47"/>
  <c r="L24" i="49"/>
  <c r="Z33" i="49"/>
  <c r="Z24" i="52"/>
  <c r="N15" i="43"/>
  <c r="L21" i="43"/>
  <c r="L16" i="44"/>
  <c r="L20" i="44"/>
  <c r="Z12" i="46"/>
  <c r="T18" i="46"/>
  <c r="V15" i="46"/>
  <c r="V31" i="46"/>
  <c r="V16" i="46"/>
  <c r="V24" i="46"/>
  <c r="V33" i="46"/>
  <c r="V25" i="46"/>
  <c r="V18" i="46"/>
  <c r="V34" i="46"/>
  <c r="V27" i="46"/>
  <c r="V20" i="46"/>
  <c r="V21" i="46"/>
  <c r="V22" i="46"/>
  <c r="V36" i="46"/>
  <c r="V29" i="46"/>
  <c r="X12" i="47"/>
  <c r="R24" i="47"/>
  <c r="R22" i="47"/>
  <c r="R20" i="47"/>
  <c r="R18" i="47"/>
  <c r="R16" i="47"/>
  <c r="R25" i="47"/>
  <c r="R34" i="47"/>
  <c r="R31" i="47"/>
  <c r="P18" i="47"/>
  <c r="R27" i="47"/>
  <c r="R36" i="47"/>
  <c r="R33" i="47"/>
  <c r="R29" i="47"/>
  <c r="R21" i="47"/>
  <c r="R15" i="47"/>
  <c r="X16" i="47"/>
  <c r="N21" i="47"/>
  <c r="V20" i="49"/>
  <c r="V18" i="49"/>
  <c r="V16" i="49"/>
  <c r="T18" i="49"/>
  <c r="V15" i="49"/>
  <c r="Z12" i="49"/>
  <c r="V21" i="49"/>
  <c r="V34" i="49"/>
  <c r="V33" i="49"/>
  <c r="V24" i="49"/>
  <c r="V31" i="49"/>
  <c r="V22" i="49"/>
  <c r="V29" i="49"/>
  <c r="V27" i="49"/>
  <c r="V36" i="49"/>
  <c r="V25" i="49"/>
  <c r="Z25" i="50"/>
  <c r="N16" i="43"/>
  <c r="N20" i="43"/>
  <c r="L22" i="43"/>
  <c r="L24" i="43"/>
  <c r="N15" i="44"/>
  <c r="L21" i="44"/>
  <c r="X15" i="46"/>
  <c r="L20" i="46"/>
  <c r="X29" i="46"/>
  <c r="N34" i="46"/>
  <c r="V36" i="47"/>
  <c r="V34" i="47"/>
  <c r="V33" i="47"/>
  <c r="V31" i="47"/>
  <c r="V29" i="47"/>
  <c r="V27" i="47"/>
  <c r="V25" i="47"/>
  <c r="Z12" i="47"/>
  <c r="V16" i="47"/>
  <c r="V22" i="47"/>
  <c r="V18" i="47"/>
  <c r="T18" i="47"/>
  <c r="V20" i="47"/>
  <c r="V24" i="47"/>
  <c r="V21" i="47"/>
  <c r="V15" i="47"/>
  <c r="Z16" i="47"/>
  <c r="L24" i="47"/>
  <c r="N29" i="47"/>
  <c r="L33" i="47"/>
  <c r="Z34" i="47"/>
  <c r="L20" i="49"/>
  <c r="Z34" i="49"/>
  <c r="N25" i="53"/>
  <c r="L13" i="43"/>
  <c r="N21" i="43"/>
  <c r="L25" i="43"/>
  <c r="L29" i="43"/>
  <c r="L33" i="43"/>
  <c r="L34" i="43"/>
  <c r="N16" i="44"/>
  <c r="N20" i="44"/>
  <c r="L22" i="44"/>
  <c r="L24" i="44"/>
  <c r="L13" i="46"/>
  <c r="Z22" i="46"/>
  <c r="L25" i="46"/>
  <c r="L33" i="46"/>
  <c r="X15" i="47"/>
  <c r="N20" i="47"/>
  <c r="Z25" i="47"/>
  <c r="N20" i="49"/>
  <c r="N33" i="52"/>
  <c r="N16" i="46"/>
  <c r="N20" i="46"/>
  <c r="L22" i="46"/>
  <c r="L24" i="46"/>
  <c r="N15" i="47"/>
  <c r="L21" i="47"/>
  <c r="R24" i="49"/>
  <c r="R22" i="49"/>
  <c r="R21" i="49"/>
  <c r="R20" i="49"/>
  <c r="R18" i="49"/>
  <c r="R16" i="49"/>
  <c r="P18" i="49"/>
  <c r="R15" i="49"/>
  <c r="R36" i="49"/>
  <c r="R34" i="49"/>
  <c r="R33" i="49"/>
  <c r="R31" i="49"/>
  <c r="R29" i="49"/>
  <c r="R27" i="49"/>
  <c r="R25" i="49"/>
  <c r="X12" i="49"/>
  <c r="Z22" i="49"/>
  <c r="Z24" i="49"/>
  <c r="Z21" i="50"/>
  <c r="X25" i="50"/>
  <c r="X29" i="50"/>
  <c r="X33" i="50"/>
  <c r="X34" i="50"/>
  <c r="N13" i="52"/>
  <c r="X16" i="52"/>
  <c r="L15" i="53"/>
  <c r="Z21" i="53"/>
  <c r="L25" i="53"/>
  <c r="Z29" i="53"/>
  <c r="Z34" i="53"/>
  <c r="N15" i="49"/>
  <c r="L21" i="49"/>
  <c r="L16" i="50"/>
  <c r="L20" i="50"/>
  <c r="N29" i="52"/>
  <c r="X15" i="53"/>
  <c r="N22" i="53"/>
  <c r="X25" i="53"/>
  <c r="N15" i="50"/>
  <c r="L21" i="50"/>
  <c r="Z25" i="53"/>
  <c r="L13" i="49"/>
  <c r="N21" i="49"/>
  <c r="L25" i="49"/>
  <c r="L29" i="49"/>
  <c r="L33" i="49"/>
  <c r="L34" i="49"/>
  <c r="N16" i="50"/>
  <c r="N20" i="50"/>
  <c r="L22" i="50"/>
  <c r="L24" i="50"/>
  <c r="N25" i="52"/>
  <c r="L33" i="53"/>
  <c r="Z13" i="46"/>
  <c r="Z16" i="46"/>
  <c r="Z20" i="46"/>
  <c r="X22" i="46"/>
  <c r="X24" i="46"/>
  <c r="J36" i="47"/>
  <c r="J34" i="47"/>
  <c r="J33" i="47"/>
  <c r="J31" i="47"/>
  <c r="J29" i="47"/>
  <c r="J27" i="47"/>
  <c r="J25" i="47"/>
  <c r="J21" i="47"/>
  <c r="J15" i="47"/>
  <c r="N12" i="47"/>
  <c r="J22" i="47"/>
  <c r="J16" i="47"/>
  <c r="J18" i="47"/>
  <c r="H18" i="47"/>
  <c r="J20" i="47"/>
  <c r="J24" i="47"/>
  <c r="X13" i="47"/>
  <c r="Z15" i="47"/>
  <c r="X21" i="47"/>
  <c r="N13" i="49"/>
  <c r="N22" i="49"/>
  <c r="N24" i="49"/>
  <c r="L13" i="50"/>
  <c r="N21" i="50"/>
  <c r="L25" i="50"/>
  <c r="L29" i="50"/>
  <c r="L33" i="50"/>
  <c r="L34" i="50"/>
  <c r="X15" i="52"/>
  <c r="N22" i="52"/>
  <c r="N34" i="52"/>
  <c r="X15" i="49"/>
  <c r="N25" i="49"/>
  <c r="N29" i="49"/>
  <c r="N33" i="49"/>
  <c r="N34" i="49"/>
  <c r="N13" i="50"/>
  <c r="N22" i="50"/>
  <c r="N24" i="50"/>
  <c r="L20" i="52"/>
  <c r="Z12" i="53"/>
  <c r="V36" i="53"/>
  <c r="V34" i="53"/>
  <c r="V33" i="53"/>
  <c r="V31" i="53"/>
  <c r="V29" i="53"/>
  <c r="V27" i="53"/>
  <c r="V25" i="53"/>
  <c r="V21" i="53"/>
  <c r="T18" i="53"/>
  <c r="V15" i="53"/>
  <c r="V24" i="53"/>
  <c r="V16" i="53"/>
  <c r="V20" i="53"/>
  <c r="V22" i="53"/>
  <c r="V18" i="53"/>
  <c r="N33" i="53"/>
  <c r="Z21" i="47"/>
  <c r="X25" i="47"/>
  <c r="X29" i="47"/>
  <c r="X33" i="47"/>
  <c r="X34" i="47"/>
  <c r="L12" i="49"/>
  <c r="F36" i="49"/>
  <c r="F34" i="49"/>
  <c r="F33" i="49"/>
  <c r="F31" i="49"/>
  <c r="F29" i="49"/>
  <c r="F27" i="49"/>
  <c r="F25" i="49"/>
  <c r="F24" i="49"/>
  <c r="F22" i="49"/>
  <c r="F20" i="49"/>
  <c r="F18" i="49"/>
  <c r="F16" i="49"/>
  <c r="D18" i="49"/>
  <c r="F21" i="49"/>
  <c r="F15" i="49"/>
  <c r="X16" i="49"/>
  <c r="X20" i="49"/>
  <c r="X15" i="50"/>
  <c r="N25" i="50"/>
  <c r="N29" i="50"/>
  <c r="N33" i="50"/>
  <c r="N34" i="50"/>
  <c r="L13" i="53"/>
  <c r="N24" i="53"/>
  <c r="Z33" i="53"/>
  <c r="N12" i="49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X13" i="49"/>
  <c r="Z15" i="49"/>
  <c r="X21" i="49"/>
  <c r="L12" i="50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X16" i="50"/>
  <c r="X20" i="50"/>
  <c r="F21" i="52"/>
  <c r="F20" i="52"/>
  <c r="F18" i="52"/>
  <c r="F16" i="52"/>
  <c r="L12" i="52"/>
  <c r="F24" i="52"/>
  <c r="F22" i="52"/>
  <c r="F36" i="52"/>
  <c r="F27" i="52"/>
  <c r="F31" i="52"/>
  <c r="F34" i="52"/>
  <c r="F25" i="52"/>
  <c r="F15" i="52"/>
  <c r="F33" i="52"/>
  <c r="F29" i="52"/>
  <c r="D18" i="52"/>
  <c r="L16" i="52"/>
  <c r="Z22" i="52"/>
  <c r="N13" i="53"/>
  <c r="N21" i="53"/>
  <c r="L29" i="53"/>
  <c r="L34" i="53"/>
  <c r="Z13" i="49"/>
  <c r="Z16" i="49"/>
  <c r="Z20" i="49"/>
  <c r="X22" i="49"/>
  <c r="X24" i="49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N12" i="50"/>
  <c r="X13" i="50"/>
  <c r="Z15" i="50"/>
  <c r="X21" i="50"/>
  <c r="R24" i="52"/>
  <c r="R22" i="52"/>
  <c r="R21" i="52"/>
  <c r="R20" i="52"/>
  <c r="R18" i="52"/>
  <c r="R16" i="52"/>
  <c r="X12" i="52"/>
  <c r="R31" i="52"/>
  <c r="R34" i="52"/>
  <c r="R25" i="52"/>
  <c r="R15" i="52"/>
  <c r="R29" i="52"/>
  <c r="P18" i="52"/>
  <c r="R33" i="52"/>
  <c r="R27" i="52"/>
  <c r="R36" i="52"/>
  <c r="X20" i="52"/>
  <c r="N15" i="46"/>
  <c r="L21" i="46"/>
  <c r="L16" i="47"/>
  <c r="L20" i="47"/>
  <c r="Z21" i="49"/>
  <c r="X25" i="49"/>
  <c r="X29" i="49"/>
  <c r="X33" i="49"/>
  <c r="X34" i="49"/>
  <c r="Z13" i="50"/>
  <c r="Z16" i="50"/>
  <c r="Z20" i="50"/>
  <c r="X22" i="50"/>
  <c r="X24" i="50"/>
  <c r="N24" i="52"/>
  <c r="N29" i="53"/>
  <c r="N34" i="53"/>
  <c r="L13" i="52"/>
  <c r="N21" i="52"/>
  <c r="L25" i="52"/>
  <c r="L29" i="52"/>
  <c r="L33" i="52"/>
  <c r="L34" i="52"/>
  <c r="N16" i="53"/>
  <c r="N20" i="53"/>
  <c r="L22" i="53"/>
  <c r="L24" i="53"/>
  <c r="H18" i="52"/>
  <c r="J15" i="52"/>
  <c r="N12" i="52"/>
  <c r="J20" i="52"/>
  <c r="J18" i="52"/>
  <c r="J16" i="52"/>
  <c r="J27" i="52"/>
  <c r="J31" i="52"/>
  <c r="J34" i="52"/>
  <c r="J22" i="52"/>
  <c r="J25" i="52"/>
  <c r="J29" i="52"/>
  <c r="J36" i="52"/>
  <c r="J24" i="52"/>
  <c r="J21" i="52"/>
  <c r="J33" i="52"/>
  <c r="X13" i="52"/>
  <c r="Z15" i="52"/>
  <c r="X21" i="52"/>
  <c r="F20" i="53"/>
  <c r="F18" i="53"/>
  <c r="F16" i="53"/>
  <c r="D18" i="53"/>
  <c r="F15" i="53"/>
  <c r="L12" i="53"/>
  <c r="F21" i="53"/>
  <c r="F34" i="53"/>
  <c r="F29" i="53"/>
  <c r="F24" i="53"/>
  <c r="F33" i="53"/>
  <c r="F27" i="53"/>
  <c r="F25" i="53"/>
  <c r="F22" i="53"/>
  <c r="F36" i="53"/>
  <c r="F31" i="53"/>
  <c r="X16" i="53"/>
  <c r="X20" i="53"/>
  <c r="Z13" i="52"/>
  <c r="Z16" i="52"/>
  <c r="Z20" i="52"/>
  <c r="X22" i="52"/>
  <c r="X24" i="52"/>
  <c r="J36" i="53"/>
  <c r="J34" i="53"/>
  <c r="J33" i="53"/>
  <c r="J31" i="53"/>
  <c r="J29" i="53"/>
  <c r="J27" i="53"/>
  <c r="J25" i="53"/>
  <c r="H18" i="53"/>
  <c r="J15" i="53"/>
  <c r="J18" i="53"/>
  <c r="J21" i="53"/>
  <c r="J24" i="53"/>
  <c r="J16" i="53"/>
  <c r="N12" i="53"/>
  <c r="J22" i="53"/>
  <c r="J20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X29" i="53"/>
  <c r="X33" i="53"/>
  <c r="X34" i="53"/>
  <c r="Z12" i="52"/>
  <c r="V24" i="52"/>
  <c r="V22" i="52"/>
  <c r="V20" i="52"/>
  <c r="V18" i="52"/>
  <c r="V16" i="52"/>
  <c r="T18" i="52"/>
  <c r="V15" i="52"/>
  <c r="V31" i="52"/>
  <c r="V34" i="52"/>
  <c r="V25" i="52"/>
  <c r="V29" i="52"/>
  <c r="V33" i="52"/>
  <c r="V21" i="52"/>
  <c r="V27" i="52"/>
  <c r="V36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1" i="53"/>
  <c r="R20" i="53"/>
  <c r="R18" i="53"/>
  <c r="R16" i="53"/>
  <c r="P18" i="53"/>
  <c r="R15" i="53"/>
  <c r="R24" i="53"/>
  <c r="R22" i="53"/>
  <c r="Z22" i="53"/>
  <c r="Z24" i="53"/>
  <c r="N15" i="52"/>
  <c r="L21" i="52"/>
  <c r="L16" i="53"/>
  <c r="L20" i="53"/>
  <c r="N16" i="52"/>
  <c r="N20" i="52"/>
  <c r="L22" i="52"/>
  <c r="L24" i="52"/>
  <c r="N15" i="53"/>
  <c r="L21" i="53"/>
  <c r="X29" i="111"/>
  <c r="Z29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Z22" i="110"/>
  <c r="Z16" i="111"/>
  <c r="X22" i="111"/>
  <c r="X16" i="112"/>
  <c r="R21" i="110"/>
  <c r="R20" i="110"/>
  <c r="R18" i="110"/>
  <c r="R16" i="110"/>
  <c r="P18" i="110"/>
  <c r="R15" i="110"/>
  <c r="X12" i="110"/>
  <c r="R22" i="110"/>
  <c r="R34" i="110"/>
  <c r="R27" i="110"/>
  <c r="R33" i="110"/>
  <c r="R25" i="110"/>
  <c r="R31" i="110"/>
  <c r="R36" i="110"/>
  <c r="R29" i="110"/>
  <c r="R24" i="110"/>
  <c r="Z24" i="110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T18" i="110"/>
  <c r="V15" i="110"/>
  <c r="Z12" i="110"/>
  <c r="V36" i="110"/>
  <c r="V34" i="110"/>
  <c r="V33" i="110"/>
  <c r="V31" i="110"/>
  <c r="V29" i="110"/>
  <c r="V27" i="110"/>
  <c r="V25" i="110"/>
  <c r="V16" i="110"/>
  <c r="V21" i="110"/>
  <c r="V20" i="110"/>
  <c r="V24" i="110"/>
  <c r="V22" i="110"/>
  <c r="V18" i="110"/>
  <c r="J21" i="112"/>
  <c r="J20" i="112"/>
  <c r="J18" i="112"/>
  <c r="J16" i="112"/>
  <c r="H18" i="112"/>
  <c r="J15" i="112"/>
  <c r="N12" i="112"/>
  <c r="J36" i="112"/>
  <c r="J22" i="112"/>
  <c r="J34" i="112"/>
  <c r="J27" i="112"/>
  <c r="J33" i="112"/>
  <c r="J25" i="112"/>
  <c r="J31" i="112"/>
  <c r="J29" i="112"/>
  <c r="J24" i="112"/>
  <c r="X25" i="110"/>
  <c r="X33" i="110"/>
  <c r="X13" i="111"/>
  <c r="N25" i="112"/>
  <c r="N33" i="112"/>
  <c r="Z13" i="111"/>
  <c r="Z20" i="111"/>
  <c r="X20" i="112"/>
  <c r="L15" i="110"/>
  <c r="Z25" i="110"/>
  <c r="Z33" i="110"/>
  <c r="X25" i="111"/>
  <c r="X33" i="111"/>
  <c r="X13" i="112"/>
  <c r="Z21" i="110"/>
  <c r="X34" i="110"/>
  <c r="Z15" i="111"/>
  <c r="X21" i="111"/>
  <c r="X15" i="112"/>
  <c r="N34" i="112"/>
  <c r="Z34" i="110"/>
  <c r="Z21" i="111"/>
  <c r="X34" i="111"/>
  <c r="Z15" i="112"/>
  <c r="X21" i="112"/>
  <c r="X29" i="110"/>
  <c r="N29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16" i="111"/>
  <c r="R21" i="111"/>
  <c r="R20" i="111"/>
  <c r="R24" i="111"/>
  <c r="R18" i="111"/>
  <c r="R22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15" i="111"/>
  <c r="V20" i="111"/>
  <c r="V18" i="111"/>
  <c r="T18" i="111"/>
  <c r="V16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15" i="112"/>
  <c r="R20" i="112"/>
  <c r="R18" i="112"/>
  <c r="P18" i="112"/>
  <c r="R16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F257" i="3"/>
  <c r="F246" i="3"/>
  <c r="F238" i="3"/>
  <c r="F234" i="3"/>
  <c r="F230" i="3"/>
  <c r="F214" i="3"/>
  <c r="F213" i="3"/>
  <c r="F190" i="3"/>
  <c r="F189" i="3"/>
  <c r="F174" i="3"/>
  <c r="F173" i="3"/>
  <c r="F166" i="3"/>
  <c r="F162" i="3"/>
  <c r="F158" i="3"/>
  <c r="F157" i="3"/>
  <c r="F258" i="3"/>
  <c r="F225" i="3"/>
  <c r="F224" i="3"/>
  <c r="F209" i="3"/>
  <c r="F208" i="3"/>
  <c r="F197" i="3"/>
  <c r="F196" i="3"/>
  <c r="F181" i="3"/>
  <c r="F153" i="3"/>
  <c r="F149" i="3"/>
  <c r="F240" i="3"/>
  <c r="F239" i="3"/>
  <c r="F220" i="3"/>
  <c r="F176" i="3"/>
  <c r="F175" i="3"/>
  <c r="F140" i="3"/>
  <c r="F136" i="3"/>
  <c r="F132" i="3"/>
  <c r="F128" i="3"/>
  <c r="F124" i="3"/>
  <c r="F120" i="3"/>
  <c r="F247" i="3"/>
  <c r="F235" i="3"/>
  <c r="F231" i="3"/>
  <c r="F215" i="3"/>
  <c r="F199" i="3"/>
  <c r="F198" i="3"/>
  <c r="F191" i="3"/>
  <c r="F183" i="3"/>
  <c r="F182" i="3"/>
  <c r="F262" i="3"/>
  <c r="F226" i="3"/>
  <c r="F210" i="3"/>
  <c r="F249" i="3"/>
  <c r="F248" i="3"/>
  <c r="F241" i="3"/>
  <c r="F221" i="3"/>
  <c r="F201" i="3"/>
  <c r="F200" i="3"/>
  <c r="F193" i="3"/>
  <c r="F192" i="3"/>
  <c r="F177" i="3"/>
  <c r="F169" i="3"/>
  <c r="F168" i="3"/>
  <c r="F141" i="3"/>
  <c r="F137" i="3"/>
  <c r="F133" i="3"/>
  <c r="F129" i="3"/>
  <c r="F125" i="3"/>
  <c r="F121" i="3"/>
  <c r="F117" i="3"/>
  <c r="F113" i="3"/>
  <c r="F236" i="3"/>
  <c r="F232" i="3"/>
  <c r="F228" i="3"/>
  <c r="F227" i="3"/>
  <c r="F216" i="3"/>
  <c r="F184" i="3"/>
  <c r="F164" i="3"/>
  <c r="F160" i="3"/>
  <c r="F267" i="3"/>
  <c r="F266" i="3"/>
  <c r="F252" i="3"/>
  <c r="F243" i="3"/>
  <c r="F242" i="3"/>
  <c r="F211" i="3"/>
  <c r="F203" i="3"/>
  <c r="F202" i="3"/>
  <c r="F253" i="3"/>
  <c r="F251" i="3"/>
  <c r="F222" i="3"/>
  <c r="F194" i="3"/>
  <c r="F186" i="3"/>
  <c r="F185" i="3"/>
  <c r="F178" i="3"/>
  <c r="F145" i="3"/>
  <c r="F143" i="3"/>
  <c r="F138" i="3"/>
  <c r="F134" i="3"/>
  <c r="F130" i="3"/>
  <c r="F126" i="3"/>
  <c r="F122" i="3"/>
  <c r="F118" i="3"/>
  <c r="F114" i="3"/>
  <c r="F256" i="3"/>
  <c r="F223" i="3"/>
  <c r="F219" i="3"/>
  <c r="F218" i="3"/>
  <c r="F207" i="3"/>
  <c r="F206" i="3"/>
  <c r="F195" i="3"/>
  <c r="F171" i="3"/>
  <c r="F146" i="3"/>
  <c r="F131" i="3"/>
  <c r="F119" i="3"/>
  <c r="F116" i="3"/>
  <c r="F204" i="3"/>
  <c r="F151" i="3"/>
  <c r="F109" i="3"/>
  <c r="F105" i="3"/>
  <c r="F101" i="3"/>
  <c r="F233" i="3"/>
  <c r="F147" i="3"/>
  <c r="F244" i="3"/>
  <c r="F217" i="3"/>
  <c r="D143" i="3"/>
  <c r="F97" i="3"/>
  <c r="F123" i="3"/>
  <c r="F110" i="3"/>
  <c r="F106" i="3"/>
  <c r="F102" i="3"/>
  <c r="F98" i="3"/>
  <c r="L12" i="3"/>
  <c r="N12" i="3" s="1"/>
  <c r="F255" i="3"/>
  <c r="F156" i="3"/>
  <c r="F135" i="3"/>
  <c r="F212" i="3"/>
  <c r="F188" i="3"/>
  <c r="F180" i="3"/>
  <c r="F172" i="3"/>
  <c r="F154" i="3"/>
  <c r="F159" i="3"/>
  <c r="F152" i="3"/>
  <c r="F111" i="3"/>
  <c r="F107" i="3"/>
  <c r="F103" i="3"/>
  <c r="F99" i="3"/>
  <c r="F237" i="3"/>
  <c r="F229" i="3"/>
  <c r="F205" i="3"/>
  <c r="F167" i="3"/>
  <c r="F165" i="3"/>
  <c r="F161" i="3"/>
  <c r="F150" i="3"/>
  <c r="F148" i="3"/>
  <c r="F127" i="3"/>
  <c r="F254" i="3"/>
  <c r="F163" i="3"/>
  <c r="F115" i="3"/>
  <c r="F245" i="3"/>
  <c r="F170" i="3"/>
  <c r="F112" i="3"/>
  <c r="F108" i="3"/>
  <c r="F104" i="3"/>
  <c r="F100" i="3"/>
  <c r="F187" i="3"/>
  <c r="F179" i="3"/>
  <c r="F155" i="3"/>
  <c r="F139" i="3"/>
  <c r="R262" i="3"/>
  <c r="R227" i="3"/>
  <c r="R226" i="3"/>
  <c r="R210" i="3"/>
  <c r="R154" i="3"/>
  <c r="R150" i="3"/>
  <c r="R267" i="3"/>
  <c r="R266" i="3"/>
  <c r="R249" i="3"/>
  <c r="R242" i="3"/>
  <c r="R241" i="3"/>
  <c r="R221" i="3"/>
  <c r="R202" i="3"/>
  <c r="R201" i="3"/>
  <c r="R193" i="3"/>
  <c r="R177" i="3"/>
  <c r="R170" i="3"/>
  <c r="R169" i="3"/>
  <c r="R146" i="3"/>
  <c r="R141" i="3"/>
  <c r="R137" i="3"/>
  <c r="R252" i="3"/>
  <c r="R236" i="3"/>
  <c r="R232" i="3"/>
  <c r="R228" i="3"/>
  <c r="R216" i="3"/>
  <c r="R185" i="3"/>
  <c r="R184" i="3"/>
  <c r="R164" i="3"/>
  <c r="R160" i="3"/>
  <c r="R145" i="3"/>
  <c r="R143" i="3"/>
  <c r="R253" i="3"/>
  <c r="R244" i="3"/>
  <c r="R243" i="3"/>
  <c r="R211" i="3"/>
  <c r="R204" i="3"/>
  <c r="R203" i="3"/>
  <c r="R254" i="3"/>
  <c r="R222" i="3"/>
  <c r="R194" i="3"/>
  <c r="R187" i="3"/>
  <c r="R186" i="3"/>
  <c r="R179" i="3"/>
  <c r="R178" i="3"/>
  <c r="R255" i="3"/>
  <c r="R245" i="3"/>
  <c r="R237" i="3"/>
  <c r="R233" i="3"/>
  <c r="R229" i="3"/>
  <c r="R218" i="3"/>
  <c r="R217" i="3"/>
  <c r="R206" i="3"/>
  <c r="R205" i="3"/>
  <c r="R165" i="3"/>
  <c r="R161" i="3"/>
  <c r="R256" i="3"/>
  <c r="R213" i="3"/>
  <c r="R212" i="3"/>
  <c r="R189" i="3"/>
  <c r="R188" i="3"/>
  <c r="R180" i="3"/>
  <c r="R173" i="3"/>
  <c r="R172" i="3"/>
  <c r="R157" i="3"/>
  <c r="R156" i="3"/>
  <c r="R152" i="3"/>
  <c r="R148" i="3"/>
  <c r="R257" i="3"/>
  <c r="R224" i="3"/>
  <c r="R223" i="3"/>
  <c r="R219" i="3"/>
  <c r="R208" i="3"/>
  <c r="R207" i="3"/>
  <c r="R196" i="3"/>
  <c r="R195" i="3"/>
  <c r="R258" i="3"/>
  <c r="R246" i="3"/>
  <c r="R239" i="3"/>
  <c r="R238" i="3"/>
  <c r="R234" i="3"/>
  <c r="R230" i="3"/>
  <c r="R214" i="3"/>
  <c r="R190" i="3"/>
  <c r="R175" i="3"/>
  <c r="R174" i="3"/>
  <c r="R166" i="3"/>
  <c r="R162" i="3"/>
  <c r="R158" i="3"/>
  <c r="R248" i="3"/>
  <c r="R247" i="3"/>
  <c r="R235" i="3"/>
  <c r="R231" i="3"/>
  <c r="R215" i="3"/>
  <c r="R200" i="3"/>
  <c r="R199" i="3"/>
  <c r="R192" i="3"/>
  <c r="R191" i="3"/>
  <c r="R176" i="3"/>
  <c r="P143" i="3"/>
  <c r="R129" i="3"/>
  <c r="R123" i="3"/>
  <c r="R120" i="3"/>
  <c r="R117" i="3"/>
  <c r="R110" i="3"/>
  <c r="R106" i="3"/>
  <c r="R102" i="3"/>
  <c r="R98" i="3"/>
  <c r="X12" i="3"/>
  <c r="Z12" i="3" s="1"/>
  <c r="R182" i="3"/>
  <c r="R140" i="3"/>
  <c r="R135" i="3"/>
  <c r="R132" i="3"/>
  <c r="R126" i="3"/>
  <c r="R114" i="3"/>
  <c r="R240" i="3"/>
  <c r="R197" i="3"/>
  <c r="R111" i="3"/>
  <c r="R107" i="3"/>
  <c r="R103" i="3"/>
  <c r="R99" i="3"/>
  <c r="R225" i="3"/>
  <c r="R138" i="3"/>
  <c r="R127" i="3"/>
  <c r="R124" i="3"/>
  <c r="R121" i="3"/>
  <c r="R167" i="3"/>
  <c r="R159" i="3"/>
  <c r="R133" i="3"/>
  <c r="R130" i="3"/>
  <c r="R118" i="3"/>
  <c r="R115" i="3"/>
  <c r="R209" i="3"/>
  <c r="R163" i="3"/>
  <c r="R136" i="3"/>
  <c r="R112" i="3"/>
  <c r="R108" i="3"/>
  <c r="R104" i="3"/>
  <c r="R100" i="3"/>
  <c r="R139" i="3"/>
  <c r="R198" i="3"/>
  <c r="R183" i="3"/>
  <c r="R168" i="3"/>
  <c r="R155" i="3"/>
  <c r="R131" i="3"/>
  <c r="R128" i="3"/>
  <c r="R125" i="3"/>
  <c r="R119" i="3"/>
  <c r="R116" i="3"/>
  <c r="R181" i="3"/>
  <c r="R171" i="3"/>
  <c r="R122" i="3"/>
  <c r="R109" i="3"/>
  <c r="R105" i="3"/>
  <c r="R101" i="3"/>
  <c r="R220" i="3"/>
  <c r="R153" i="3"/>
  <c r="R151" i="3"/>
  <c r="R134" i="3"/>
  <c r="R113" i="3"/>
  <c r="R97" i="3"/>
  <c r="R149" i="3"/>
  <c r="R147" i="3"/>
  <c r="Z97" i="3"/>
  <c r="V98" i="3"/>
  <c r="V102" i="3"/>
  <c r="V106" i="3"/>
  <c r="V110" i="3"/>
  <c r="J116" i="3"/>
  <c r="J119" i="3"/>
  <c r="V120" i="3"/>
  <c r="V123" i="3"/>
  <c r="J125" i="3"/>
  <c r="J128" i="3"/>
  <c r="J131" i="3"/>
  <c r="N168" i="3"/>
  <c r="V176" i="3"/>
  <c r="V191" i="3"/>
  <c r="V215" i="3"/>
  <c r="N251" i="3"/>
  <c r="Z19" i="9"/>
  <c r="R28" i="9"/>
  <c r="N45" i="9"/>
  <c r="N58" i="9"/>
  <c r="N71" i="9"/>
  <c r="N93" i="9"/>
  <c r="V190" i="12"/>
  <c r="J139" i="3"/>
  <c r="V158" i="3"/>
  <c r="J168" i="3"/>
  <c r="N173" i="3"/>
  <c r="N179" i="3"/>
  <c r="N187" i="3"/>
  <c r="N189" i="3"/>
  <c r="X200" i="3"/>
  <c r="Z200" i="3" s="1"/>
  <c r="J207" i="3"/>
  <c r="N213" i="3"/>
  <c r="N218" i="3"/>
  <c r="V231" i="3"/>
  <c r="D16" i="6"/>
  <c r="F90" i="9"/>
  <c r="F78" i="9"/>
  <c r="F50" i="9"/>
  <c r="F49" i="9"/>
  <c r="F102" i="9"/>
  <c r="F85" i="9"/>
  <c r="F73" i="9"/>
  <c r="F41" i="9"/>
  <c r="F37" i="9"/>
  <c r="F33" i="9"/>
  <c r="F32" i="9"/>
  <c r="F104" i="9"/>
  <c r="F92" i="9"/>
  <c r="F91" i="9"/>
  <c r="F80" i="9"/>
  <c r="F79" i="9"/>
  <c r="F68" i="9"/>
  <c r="F60" i="9"/>
  <c r="F28" i="9"/>
  <c r="F24" i="9"/>
  <c r="F51" i="9"/>
  <c r="F94" i="9"/>
  <c r="F93" i="9"/>
  <c r="F86" i="9"/>
  <c r="F74" i="9"/>
  <c r="F62" i="9"/>
  <c r="F61" i="9"/>
  <c r="F42" i="9"/>
  <c r="F38" i="9"/>
  <c r="F34" i="9"/>
  <c r="F109" i="9"/>
  <c r="F106" i="9"/>
  <c r="F81" i="9"/>
  <c r="F69" i="9"/>
  <c r="F53" i="9"/>
  <c r="F52" i="9"/>
  <c r="F29" i="9"/>
  <c r="F25" i="9"/>
  <c r="F21" i="9"/>
  <c r="F20" i="9"/>
  <c r="F64" i="9"/>
  <c r="F63" i="9"/>
  <c r="F44" i="9"/>
  <c r="F43" i="9"/>
  <c r="F19" i="9"/>
  <c r="F17" i="9"/>
  <c r="F15" i="9"/>
  <c r="F95" i="9"/>
  <c r="F87" i="9"/>
  <c r="F83" i="9"/>
  <c r="F82" i="9"/>
  <c r="F75" i="9"/>
  <c r="F55" i="9"/>
  <c r="F54" i="9"/>
  <c r="F39" i="9"/>
  <c r="F35" i="9"/>
  <c r="D17" i="9"/>
  <c r="F70" i="9"/>
  <c r="F46" i="9"/>
  <c r="F45" i="9"/>
  <c r="F30" i="9"/>
  <c r="F26" i="9"/>
  <c r="F22" i="9"/>
  <c r="L12" i="9"/>
  <c r="F98" i="9"/>
  <c r="F89" i="9"/>
  <c r="F88" i="9"/>
  <c r="F77" i="9"/>
  <c r="F76" i="9"/>
  <c r="F65" i="9"/>
  <c r="F57" i="9"/>
  <c r="F56" i="9"/>
  <c r="F100" i="9"/>
  <c r="F67" i="9"/>
  <c r="F66" i="9"/>
  <c r="F59" i="9"/>
  <c r="F58" i="9"/>
  <c r="F31" i="9"/>
  <c r="F27" i="9"/>
  <c r="F23" i="9"/>
  <c r="R41" i="9"/>
  <c r="L47" i="9"/>
  <c r="N47" i="9" s="1"/>
  <c r="R60" i="9"/>
  <c r="R104" i="9"/>
  <c r="V130" i="12"/>
  <c r="V138" i="12"/>
  <c r="V217" i="12"/>
  <c r="J100" i="3"/>
  <c r="J104" i="3"/>
  <c r="J108" i="3"/>
  <c r="J112" i="3"/>
  <c r="V113" i="3"/>
  <c r="V134" i="3"/>
  <c r="J136" i="3"/>
  <c r="J173" i="3"/>
  <c r="J189" i="3"/>
  <c r="V200" i="3"/>
  <c r="J213" i="3"/>
  <c r="J218" i="3"/>
  <c r="V220" i="3"/>
  <c r="J256" i="3"/>
  <c r="Z16" i="6"/>
  <c r="Z22" i="6"/>
  <c r="J91" i="9"/>
  <c r="J85" i="9"/>
  <c r="J79" i="9"/>
  <c r="J73" i="9"/>
  <c r="J41" i="9"/>
  <c r="J37" i="9"/>
  <c r="J33" i="9"/>
  <c r="J104" i="9"/>
  <c r="J92" i="9"/>
  <c r="J80" i="9"/>
  <c r="J68" i="9"/>
  <c r="J60" i="9"/>
  <c r="J28" i="9"/>
  <c r="J24" i="9"/>
  <c r="J93" i="9"/>
  <c r="J61" i="9"/>
  <c r="J51" i="9"/>
  <c r="J109" i="9"/>
  <c r="J106" i="9"/>
  <c r="J94" i="9"/>
  <c r="J86" i="9"/>
  <c r="J74" i="9"/>
  <c r="J62" i="9"/>
  <c r="J52" i="9"/>
  <c r="J42" i="9"/>
  <c r="J38" i="9"/>
  <c r="J34" i="9"/>
  <c r="J20" i="9"/>
  <c r="J81" i="9"/>
  <c r="J69" i="9"/>
  <c r="J63" i="9"/>
  <c r="J53" i="9"/>
  <c r="J43" i="9"/>
  <c r="J29" i="9"/>
  <c r="J25" i="9"/>
  <c r="J21" i="9"/>
  <c r="J19" i="9"/>
  <c r="J17" i="9"/>
  <c r="J15" i="9"/>
  <c r="J82" i="9"/>
  <c r="J64" i="9"/>
  <c r="J54" i="9"/>
  <c r="J44" i="9"/>
  <c r="H17" i="9"/>
  <c r="J95" i="9"/>
  <c r="J87" i="9"/>
  <c r="J83" i="9"/>
  <c r="J75" i="9"/>
  <c r="J55" i="9"/>
  <c r="J45" i="9"/>
  <c r="J39" i="9"/>
  <c r="J35" i="9"/>
  <c r="J88" i="9"/>
  <c r="J76" i="9"/>
  <c r="J70" i="9"/>
  <c r="J56" i="9"/>
  <c r="J46" i="9"/>
  <c r="J30" i="9"/>
  <c r="J26" i="9"/>
  <c r="J22" i="9"/>
  <c r="N12" i="9"/>
  <c r="J98" i="9"/>
  <c r="J97" i="9"/>
  <c r="J89" i="9"/>
  <c r="J77" i="9"/>
  <c r="J71" i="9"/>
  <c r="J65" i="9"/>
  <c r="J57" i="9"/>
  <c r="J47" i="9"/>
  <c r="J99" i="9"/>
  <c r="J84" i="9"/>
  <c r="J72" i="9"/>
  <c r="J66" i="9"/>
  <c r="J58" i="9"/>
  <c r="J102" i="9"/>
  <c r="J90" i="9"/>
  <c r="J78" i="9"/>
  <c r="J50" i="9"/>
  <c r="J32" i="9"/>
  <c r="R24" i="9"/>
  <c r="J31" i="9"/>
  <c r="Z43" i="9"/>
  <c r="J49" i="9"/>
  <c r="V97" i="3"/>
  <c r="V101" i="3"/>
  <c r="V105" i="3"/>
  <c r="V109" i="3"/>
  <c r="J115" i="3"/>
  <c r="J118" i="3"/>
  <c r="V122" i="3"/>
  <c r="J130" i="3"/>
  <c r="J133" i="3"/>
  <c r="J141" i="3"/>
  <c r="J157" i="3"/>
  <c r="Z179" i="3"/>
  <c r="Z187" i="3"/>
  <c r="J223" i="3"/>
  <c r="N248" i="3"/>
  <c r="Z47" i="9"/>
  <c r="Z79" i="9"/>
  <c r="D12" i="12"/>
  <c r="N141" i="12"/>
  <c r="J141" i="12"/>
  <c r="L13" i="3"/>
  <c r="N13" i="3" s="1"/>
  <c r="X97" i="3"/>
  <c r="V116" i="3"/>
  <c r="V119" i="3"/>
  <c r="J121" i="3"/>
  <c r="J124" i="3"/>
  <c r="J127" i="3"/>
  <c r="V128" i="3"/>
  <c r="J138" i="3"/>
  <c r="J148" i="3"/>
  <c r="J150" i="3"/>
  <c r="L157" i="3"/>
  <c r="N157" i="3" s="1"/>
  <c r="V183" i="3"/>
  <c r="Z198" i="3"/>
  <c r="P251" i="3"/>
  <c r="X251" i="3" s="1"/>
  <c r="Z251" i="3" s="1"/>
  <c r="X258" i="3"/>
  <c r="J27" i="9"/>
  <c r="L98" i="9"/>
  <c r="D97" i="9"/>
  <c r="L97" i="9" s="1"/>
  <c r="J99" i="3"/>
  <c r="J103" i="3"/>
  <c r="J107" i="3"/>
  <c r="J111" i="3"/>
  <c r="V146" i="3"/>
  <c r="J152" i="3"/>
  <c r="V161" i="3"/>
  <c r="V165" i="3"/>
  <c r="V168" i="3"/>
  <c r="J195" i="3"/>
  <c r="Z213" i="3"/>
  <c r="Z239" i="3"/>
  <c r="Z248" i="3"/>
  <c r="N20" i="9"/>
  <c r="J40" i="9"/>
  <c r="J59" i="9"/>
  <c r="J100" i="9"/>
  <c r="Z142" i="15"/>
  <c r="J114" i="3"/>
  <c r="V150" i="3"/>
  <c r="J154" i="3"/>
  <c r="V163" i="3"/>
  <c r="J172" i="3"/>
  <c r="J180" i="3"/>
  <c r="J188" i="3"/>
  <c r="Z192" i="3"/>
  <c r="X192" i="3"/>
  <c r="J212" i="3"/>
  <c r="J219" i="3"/>
  <c r="V248" i="3"/>
  <c r="J126" i="3"/>
  <c r="J132" i="3"/>
  <c r="J135" i="3"/>
  <c r="J156" i="3"/>
  <c r="V157" i="3"/>
  <c r="V159" i="3"/>
  <c r="V167" i="3"/>
  <c r="V170" i="3"/>
  <c r="V192" i="3"/>
  <c r="V199" i="3"/>
  <c r="V227" i="3"/>
  <c r="V235" i="3"/>
  <c r="J255" i="3"/>
  <c r="Z20" i="9"/>
  <c r="N61" i="9"/>
  <c r="V222" i="12"/>
  <c r="V227" i="12"/>
  <c r="V221" i="12"/>
  <c r="V196" i="12"/>
  <c r="V180" i="12"/>
  <c r="V172" i="12"/>
  <c r="V164" i="12"/>
  <c r="V148" i="12"/>
  <c r="V112" i="12"/>
  <c r="V108" i="12"/>
  <c r="V104" i="12"/>
  <c r="V100" i="12"/>
  <c r="V96" i="12"/>
  <c r="V92" i="12"/>
  <c r="V88" i="12"/>
  <c r="V84" i="12"/>
  <c r="V80" i="12"/>
  <c r="V219" i="12"/>
  <c r="V207" i="12"/>
  <c r="V191" i="12"/>
  <c r="V171" i="12"/>
  <c r="V163" i="12"/>
  <c r="V155" i="12"/>
  <c r="V147" i="12"/>
  <c r="V139" i="12"/>
  <c r="V135" i="12"/>
  <c r="V131" i="12"/>
  <c r="V223" i="12"/>
  <c r="V214" i="12"/>
  <c r="V206" i="12"/>
  <c r="V202" i="12"/>
  <c r="V198" i="12"/>
  <c r="V186" i="12"/>
  <c r="V174" i="12"/>
  <c r="V126" i="12"/>
  <c r="V122" i="12"/>
  <c r="V220" i="12"/>
  <c r="V181" i="12"/>
  <c r="V173" i="12"/>
  <c r="V165" i="12"/>
  <c r="V157" i="12"/>
  <c r="V149" i="12"/>
  <c r="V141" i="12"/>
  <c r="V113" i="12"/>
  <c r="V109" i="12"/>
  <c r="V105" i="12"/>
  <c r="V101" i="12"/>
  <c r="V97" i="12"/>
  <c r="V93" i="12"/>
  <c r="V89" i="12"/>
  <c r="V85" i="12"/>
  <c r="V81" i="12"/>
  <c r="V208" i="12"/>
  <c r="V192" i="12"/>
  <c r="V188" i="12"/>
  <c r="V176" i="12"/>
  <c r="V156" i="12"/>
  <c r="V140" i="12"/>
  <c r="V136" i="12"/>
  <c r="V132" i="12"/>
  <c r="V216" i="12"/>
  <c r="V215" i="12"/>
  <c r="V203" i="12"/>
  <c r="V199" i="12"/>
  <c r="V187" i="12"/>
  <c r="V183" i="12"/>
  <c r="V175" i="12"/>
  <c r="V159" i="12"/>
  <c r="V151" i="12"/>
  <c r="V143" i="12"/>
  <c r="V127" i="12"/>
  <c r="V123" i="12"/>
  <c r="V119" i="12"/>
  <c r="V210" i="12"/>
  <c r="V194" i="12"/>
  <c r="V182" i="12"/>
  <c r="V178" i="12"/>
  <c r="V166" i="12"/>
  <c r="V158" i="12"/>
  <c r="V150" i="12"/>
  <c r="V142" i="12"/>
  <c r="V118" i="12"/>
  <c r="V114" i="12"/>
  <c r="V110" i="12"/>
  <c r="V106" i="12"/>
  <c r="V102" i="12"/>
  <c r="V98" i="12"/>
  <c r="V94" i="12"/>
  <c r="V90" i="12"/>
  <c r="V86" i="12"/>
  <c r="V82" i="12"/>
  <c r="V78" i="12"/>
  <c r="V209" i="12"/>
  <c r="V193" i="12"/>
  <c r="V189" i="12"/>
  <c r="V177" i="12"/>
  <c r="V161" i="12"/>
  <c r="V137" i="12"/>
  <c r="V133" i="12"/>
  <c r="T116" i="12"/>
  <c r="V212" i="12"/>
  <c r="V204" i="12"/>
  <c r="V200" i="12"/>
  <c r="V184" i="12"/>
  <c r="V168" i="12"/>
  <c r="V160" i="12"/>
  <c r="V152" i="12"/>
  <c r="V144" i="12"/>
  <c r="V128" i="12"/>
  <c r="V124" i="12"/>
  <c r="V120" i="12"/>
  <c r="V211" i="12"/>
  <c r="V195" i="12"/>
  <c r="V179" i="12"/>
  <c r="V167" i="12"/>
  <c r="V111" i="12"/>
  <c r="V107" i="12"/>
  <c r="V103" i="12"/>
  <c r="V99" i="12"/>
  <c r="V95" i="12"/>
  <c r="V91" i="12"/>
  <c r="V87" i="12"/>
  <c r="V83" i="12"/>
  <c r="V79" i="12"/>
  <c r="V213" i="12"/>
  <c r="V205" i="12"/>
  <c r="V201" i="12"/>
  <c r="V197" i="12"/>
  <c r="V185" i="12"/>
  <c r="V169" i="12"/>
  <c r="V153" i="12"/>
  <c r="V145" i="12"/>
  <c r="V129" i="12"/>
  <c r="V125" i="12"/>
  <c r="V121" i="12"/>
  <c r="V154" i="12"/>
  <c r="N157" i="12"/>
  <c r="J157" i="12"/>
  <c r="X15" i="3"/>
  <c r="J98" i="3"/>
  <c r="J102" i="3"/>
  <c r="J106" i="3"/>
  <c r="J110" i="3"/>
  <c r="J117" i="3"/>
  <c r="J120" i="3"/>
  <c r="J123" i="3"/>
  <c r="V124" i="3"/>
  <c r="V127" i="3"/>
  <c r="J129" i="3"/>
  <c r="V138" i="3"/>
  <c r="J162" i="3"/>
  <c r="J166" i="3"/>
  <c r="J174" i="3"/>
  <c r="N206" i="3"/>
  <c r="R94" i="9"/>
  <c r="R86" i="9"/>
  <c r="R74" i="9"/>
  <c r="R63" i="9"/>
  <c r="R62" i="9"/>
  <c r="R43" i="9"/>
  <c r="R42" i="9"/>
  <c r="R38" i="9"/>
  <c r="R34" i="9"/>
  <c r="R19" i="9"/>
  <c r="R17" i="9"/>
  <c r="R15" i="9"/>
  <c r="R82" i="9"/>
  <c r="R81" i="9"/>
  <c r="R69" i="9"/>
  <c r="R54" i="9"/>
  <c r="R53" i="9"/>
  <c r="R29" i="9"/>
  <c r="R25" i="9"/>
  <c r="R21" i="9"/>
  <c r="P17" i="9"/>
  <c r="R64" i="9"/>
  <c r="R45" i="9"/>
  <c r="R44" i="9"/>
  <c r="R95" i="9"/>
  <c r="R88" i="9"/>
  <c r="R87" i="9"/>
  <c r="R83" i="9"/>
  <c r="R76" i="9"/>
  <c r="R75" i="9"/>
  <c r="R56" i="9"/>
  <c r="R55" i="9"/>
  <c r="R39" i="9"/>
  <c r="R35" i="9"/>
  <c r="R98" i="9"/>
  <c r="R97" i="9"/>
  <c r="R71" i="9"/>
  <c r="R70" i="9"/>
  <c r="R47" i="9"/>
  <c r="R46" i="9"/>
  <c r="R30" i="9"/>
  <c r="R26" i="9"/>
  <c r="R22" i="9"/>
  <c r="X12" i="9"/>
  <c r="R99" i="9"/>
  <c r="R89" i="9"/>
  <c r="R77" i="9"/>
  <c r="R66" i="9"/>
  <c r="R65" i="9"/>
  <c r="R58" i="9"/>
  <c r="R57" i="9"/>
  <c r="R100" i="9"/>
  <c r="R84" i="9"/>
  <c r="R72" i="9"/>
  <c r="R49" i="9"/>
  <c r="R48" i="9"/>
  <c r="R40" i="9"/>
  <c r="R36" i="9"/>
  <c r="R102" i="9"/>
  <c r="R67" i="9"/>
  <c r="R59" i="9"/>
  <c r="R32" i="9"/>
  <c r="R31" i="9"/>
  <c r="R27" i="9"/>
  <c r="R23" i="9"/>
  <c r="R91" i="9"/>
  <c r="R90" i="9"/>
  <c r="R79" i="9"/>
  <c r="R78" i="9"/>
  <c r="R50" i="9"/>
  <c r="R85" i="9"/>
  <c r="R73" i="9"/>
  <c r="R109" i="9"/>
  <c r="R106" i="9"/>
  <c r="R52" i="9"/>
  <c r="R51" i="9"/>
  <c r="R20" i="9"/>
  <c r="J36" i="9"/>
  <c r="Z52" i="9"/>
  <c r="L66" i="9"/>
  <c r="R68" i="9"/>
  <c r="V170" i="12"/>
  <c r="L209" i="15"/>
  <c r="N209" i="15" s="1"/>
  <c r="H143" i="3"/>
  <c r="N66" i="9"/>
  <c r="V146" i="12"/>
  <c r="J258" i="3"/>
  <c r="J239" i="3"/>
  <c r="J225" i="3"/>
  <c r="J209" i="3"/>
  <c r="J197" i="3"/>
  <c r="J181" i="3"/>
  <c r="J175" i="3"/>
  <c r="J153" i="3"/>
  <c r="J149" i="3"/>
  <c r="J240" i="3"/>
  <c r="J220" i="3"/>
  <c r="J198" i="3"/>
  <c r="J182" i="3"/>
  <c r="J176" i="3"/>
  <c r="J140" i="3"/>
  <c r="J247" i="3"/>
  <c r="J235" i="3"/>
  <c r="J231" i="3"/>
  <c r="J215" i="3"/>
  <c r="J199" i="3"/>
  <c r="J191" i="3"/>
  <c r="J183" i="3"/>
  <c r="J167" i="3"/>
  <c r="J163" i="3"/>
  <c r="J159" i="3"/>
  <c r="J262" i="3"/>
  <c r="J248" i="3"/>
  <c r="J226" i="3"/>
  <c r="J210" i="3"/>
  <c r="J200" i="3"/>
  <c r="J192" i="3"/>
  <c r="J249" i="3"/>
  <c r="J241" i="3"/>
  <c r="J227" i="3"/>
  <c r="J221" i="3"/>
  <c r="J201" i="3"/>
  <c r="J193" i="3"/>
  <c r="J177" i="3"/>
  <c r="J169" i="3"/>
  <c r="J267" i="3"/>
  <c r="J266" i="3"/>
  <c r="J242" i="3"/>
  <c r="J236" i="3"/>
  <c r="J232" i="3"/>
  <c r="J228" i="3"/>
  <c r="J216" i="3"/>
  <c r="J202" i="3"/>
  <c r="J184" i="3"/>
  <c r="J170" i="3"/>
  <c r="J164" i="3"/>
  <c r="J160" i="3"/>
  <c r="J146" i="3"/>
  <c r="J252" i="3"/>
  <c r="J251" i="3"/>
  <c r="J243" i="3"/>
  <c r="J211" i="3"/>
  <c r="J203" i="3"/>
  <c r="J185" i="3"/>
  <c r="J171" i="3"/>
  <c r="J155" i="3"/>
  <c r="J151" i="3"/>
  <c r="J147" i="3"/>
  <c r="J145" i="3"/>
  <c r="J253" i="3"/>
  <c r="J244" i="3"/>
  <c r="J222" i="3"/>
  <c r="J204" i="3"/>
  <c r="J194" i="3"/>
  <c r="J186" i="3"/>
  <c r="J178" i="3"/>
  <c r="J254" i="3"/>
  <c r="J245" i="3"/>
  <c r="J237" i="3"/>
  <c r="J233" i="3"/>
  <c r="J229" i="3"/>
  <c r="J217" i="3"/>
  <c r="J205" i="3"/>
  <c r="J187" i="3"/>
  <c r="J179" i="3"/>
  <c r="J165" i="3"/>
  <c r="J161" i="3"/>
  <c r="J257" i="3"/>
  <c r="J246" i="3"/>
  <c r="J238" i="3"/>
  <c r="J234" i="3"/>
  <c r="J230" i="3"/>
  <c r="J224" i="3"/>
  <c r="J214" i="3"/>
  <c r="J208" i="3"/>
  <c r="J196" i="3"/>
  <c r="J190" i="3"/>
  <c r="J97" i="3"/>
  <c r="V251" i="3"/>
  <c r="V249" i="3"/>
  <c r="V241" i="3"/>
  <c r="V221" i="3"/>
  <c r="V201" i="3"/>
  <c r="V193" i="3"/>
  <c r="V185" i="3"/>
  <c r="V177" i="3"/>
  <c r="V169" i="3"/>
  <c r="V145" i="3"/>
  <c r="V141" i="3"/>
  <c r="V137" i="3"/>
  <c r="V133" i="3"/>
  <c r="V129" i="3"/>
  <c r="V125" i="3"/>
  <c r="V121" i="3"/>
  <c r="V117" i="3"/>
  <c r="V252" i="3"/>
  <c r="V244" i="3"/>
  <c r="V236" i="3"/>
  <c r="V232" i="3"/>
  <c r="V228" i="3"/>
  <c r="V216" i="3"/>
  <c r="V204" i="3"/>
  <c r="V184" i="3"/>
  <c r="V164" i="3"/>
  <c r="V160" i="3"/>
  <c r="T143" i="3"/>
  <c r="V143" i="3" s="1"/>
  <c r="V253" i="3"/>
  <c r="V243" i="3"/>
  <c r="V211" i="3"/>
  <c r="V203" i="3"/>
  <c r="V187" i="3"/>
  <c r="V179" i="3"/>
  <c r="V171" i="3"/>
  <c r="V155" i="3"/>
  <c r="V151" i="3"/>
  <c r="V147" i="3"/>
  <c r="V254" i="3"/>
  <c r="V222" i="3"/>
  <c r="V218" i="3"/>
  <c r="V206" i="3"/>
  <c r="V194" i="3"/>
  <c r="V186" i="3"/>
  <c r="V178" i="3"/>
  <c r="V255" i="3"/>
  <c r="V245" i="3"/>
  <c r="V237" i="3"/>
  <c r="V233" i="3"/>
  <c r="V229" i="3"/>
  <c r="V217" i="3"/>
  <c r="V213" i="3"/>
  <c r="V205" i="3"/>
  <c r="V189" i="3"/>
  <c r="V173" i="3"/>
  <c r="V256" i="3"/>
  <c r="V224" i="3"/>
  <c r="V212" i="3"/>
  <c r="V208" i="3"/>
  <c r="V196" i="3"/>
  <c r="V188" i="3"/>
  <c r="V180" i="3"/>
  <c r="V172" i="3"/>
  <c r="V156" i="3"/>
  <c r="V152" i="3"/>
  <c r="V148" i="3"/>
  <c r="V257" i="3"/>
  <c r="V239" i="3"/>
  <c r="V223" i="3"/>
  <c r="V219" i="3"/>
  <c r="V207" i="3"/>
  <c r="V195" i="3"/>
  <c r="V175" i="3"/>
  <c r="V139" i="3"/>
  <c r="V135" i="3"/>
  <c r="V131" i="3"/>
  <c r="V258" i="3"/>
  <c r="V246" i="3"/>
  <c r="V238" i="3"/>
  <c r="V234" i="3"/>
  <c r="V230" i="3"/>
  <c r="V214" i="3"/>
  <c r="V198" i="3"/>
  <c r="V190" i="3"/>
  <c r="V182" i="3"/>
  <c r="V225" i="3"/>
  <c r="V209" i="3"/>
  <c r="V197" i="3"/>
  <c r="V181" i="3"/>
  <c r="V153" i="3"/>
  <c r="V149" i="3"/>
  <c r="V267" i="3"/>
  <c r="V266" i="3"/>
  <c r="V262" i="3"/>
  <c r="V242" i="3"/>
  <c r="V226" i="3"/>
  <c r="V210" i="3"/>
  <c r="V202" i="3"/>
  <c r="J113" i="3"/>
  <c r="V114" i="3"/>
  <c r="J134" i="3"/>
  <c r="J137" i="3"/>
  <c r="J158" i="3"/>
  <c r="V240" i="3"/>
  <c r="P22" i="6"/>
  <c r="X16" i="6"/>
  <c r="Z61" i="9"/>
  <c r="F99" i="9"/>
  <c r="Z118" i="12"/>
  <c r="V162" i="12"/>
  <c r="J101" i="3"/>
  <c r="J105" i="3"/>
  <c r="J109" i="3"/>
  <c r="J122" i="3"/>
  <c r="V140" i="3"/>
  <c r="V162" i="3"/>
  <c r="V166" i="3"/>
  <c r="V174" i="3"/>
  <c r="Z182" i="3"/>
  <c r="V247" i="3"/>
  <c r="Z26" i="6"/>
  <c r="T31" i="6"/>
  <c r="R100" i="21"/>
  <c r="R80" i="21"/>
  <c r="R69" i="21"/>
  <c r="R68" i="21"/>
  <c r="R57" i="21"/>
  <c r="R56" i="21"/>
  <c r="R102" i="21"/>
  <c r="R92" i="21"/>
  <c r="R91" i="21"/>
  <c r="R87" i="21"/>
  <c r="R75" i="21"/>
  <c r="R48" i="21"/>
  <c r="R47" i="21"/>
  <c r="R43" i="21"/>
  <c r="R39" i="21"/>
  <c r="R93" i="21"/>
  <c r="R82" i="21"/>
  <c r="R81" i="21"/>
  <c r="R50" i="21"/>
  <c r="R49" i="21"/>
  <c r="R106" i="21"/>
  <c r="R88" i="21"/>
  <c r="R77" i="21"/>
  <c r="R76" i="21"/>
  <c r="R61" i="21"/>
  <c r="R60" i="21"/>
  <c r="R44" i="21"/>
  <c r="R40" i="21"/>
  <c r="R84" i="21"/>
  <c r="R83" i="21"/>
  <c r="R71" i="21"/>
  <c r="R52" i="21"/>
  <c r="R51" i="21"/>
  <c r="R35" i="21"/>
  <c r="R31" i="21"/>
  <c r="R95" i="21"/>
  <c r="R94" i="21"/>
  <c r="R78" i="21"/>
  <c r="R63" i="21"/>
  <c r="R62" i="21"/>
  <c r="R89" i="21"/>
  <c r="R85" i="21"/>
  <c r="R54" i="21"/>
  <c r="R53" i="21"/>
  <c r="R45" i="21"/>
  <c r="R41" i="21"/>
  <c r="R97" i="21"/>
  <c r="R96" i="21"/>
  <c r="R72" i="21"/>
  <c r="R65" i="21"/>
  <c r="R64" i="21"/>
  <c r="R37" i="21"/>
  <c r="R36" i="21"/>
  <c r="R32" i="21"/>
  <c r="R28" i="21"/>
  <c r="R74" i="21"/>
  <c r="R73" i="21"/>
  <c r="R33" i="21"/>
  <c r="R29" i="21"/>
  <c r="R42" i="21"/>
  <c r="R99" i="21"/>
  <c r="R66" i="21"/>
  <c r="P24" i="21"/>
  <c r="R24" i="21" s="1"/>
  <c r="R19" i="21"/>
  <c r="R67" i="21"/>
  <c r="R46" i="21"/>
  <c r="R26" i="21"/>
  <c r="R20" i="21"/>
  <c r="R58" i="21"/>
  <c r="R27" i="21"/>
  <c r="R86" i="21"/>
  <c r="R34" i="21"/>
  <c r="R79" i="21"/>
  <c r="R21" i="21"/>
  <c r="R30" i="21"/>
  <c r="R90" i="21"/>
  <c r="R70" i="21"/>
  <c r="R38" i="21"/>
  <c r="R59" i="21"/>
  <c r="R55" i="21"/>
  <c r="R22" i="21"/>
  <c r="R98" i="21"/>
  <c r="X14" i="6"/>
  <c r="T17" i="9"/>
  <c r="V34" i="9"/>
  <c r="V38" i="9"/>
  <c r="V42" i="9"/>
  <c r="V54" i="9"/>
  <c r="V62" i="9"/>
  <c r="V74" i="9"/>
  <c r="V82" i="9"/>
  <c r="V86" i="9"/>
  <c r="V94" i="9"/>
  <c r="P12" i="12"/>
  <c r="J119" i="12"/>
  <c r="J133" i="12"/>
  <c r="J137" i="12"/>
  <c r="J143" i="12"/>
  <c r="J151" i="12"/>
  <c r="J159" i="12"/>
  <c r="J177" i="12"/>
  <c r="J183" i="12"/>
  <c r="J189" i="12"/>
  <c r="J193" i="12"/>
  <c r="J209" i="12"/>
  <c r="J216" i="12"/>
  <c r="V200" i="15"/>
  <c r="V184" i="15"/>
  <c r="V164" i="15"/>
  <c r="V156" i="15"/>
  <c r="V148" i="15"/>
  <c r="V140" i="15"/>
  <c r="V124" i="15"/>
  <c r="V120" i="15"/>
  <c r="V116" i="15"/>
  <c r="V207" i="15"/>
  <c r="V199" i="15"/>
  <c r="V195" i="15"/>
  <c r="V191" i="15"/>
  <c r="V179" i="15"/>
  <c r="V163" i="15"/>
  <c r="V107" i="15"/>
  <c r="V103" i="15"/>
  <c r="V99" i="15"/>
  <c r="V95" i="15"/>
  <c r="V91" i="15"/>
  <c r="V87" i="15"/>
  <c r="V83" i="15"/>
  <c r="V79" i="15"/>
  <c r="V220" i="15"/>
  <c r="V174" i="15"/>
  <c r="V166" i="15"/>
  <c r="V158" i="15"/>
  <c r="V150" i="15"/>
  <c r="V142" i="15"/>
  <c r="V134" i="15"/>
  <c r="V130" i="15"/>
  <c r="V126" i="15"/>
  <c r="V209" i="15"/>
  <c r="V201" i="15"/>
  <c r="V185" i="15"/>
  <c r="V165" i="15"/>
  <c r="V149" i="15"/>
  <c r="V141" i="15"/>
  <c r="V125" i="15"/>
  <c r="V121" i="15"/>
  <c r="V117" i="15"/>
  <c r="V208" i="15"/>
  <c r="V196" i="15"/>
  <c r="V192" i="15"/>
  <c r="V180" i="15"/>
  <c r="V168" i="15"/>
  <c r="V160" i="15"/>
  <c r="V144" i="15"/>
  <c r="V108" i="15"/>
  <c r="V104" i="15"/>
  <c r="V100" i="15"/>
  <c r="V96" i="15"/>
  <c r="V92" i="15"/>
  <c r="V88" i="15"/>
  <c r="V84" i="15"/>
  <c r="V80" i="15"/>
  <c r="V76" i="15"/>
  <c r="V203" i="15"/>
  <c r="V187" i="15"/>
  <c r="V175" i="15"/>
  <c r="V167" i="15"/>
  <c r="V159" i="15"/>
  <c r="V151" i="15"/>
  <c r="V143" i="15"/>
  <c r="V135" i="15"/>
  <c r="V131" i="15"/>
  <c r="V127" i="15"/>
  <c r="V212" i="15"/>
  <c r="V210" i="15"/>
  <c r="V202" i="15"/>
  <c r="V186" i="15"/>
  <c r="V182" i="15"/>
  <c r="V170" i="15"/>
  <c r="V122" i="15"/>
  <c r="V118" i="15"/>
  <c r="V213" i="15"/>
  <c r="V205" i="15"/>
  <c r="V197" i="15"/>
  <c r="V193" i="15"/>
  <c r="V181" i="15"/>
  <c r="V177" i="15"/>
  <c r="V169" i="15"/>
  <c r="V161" i="15"/>
  <c r="V153" i="15"/>
  <c r="V145" i="15"/>
  <c r="V137" i="15"/>
  <c r="V109" i="15"/>
  <c r="V105" i="15"/>
  <c r="V214" i="15"/>
  <c r="V204" i="15"/>
  <c r="V188" i="15"/>
  <c r="V176" i="15"/>
  <c r="V172" i="15"/>
  <c r="V152" i="15"/>
  <c r="V136" i="15"/>
  <c r="V132" i="15"/>
  <c r="V128" i="15"/>
  <c r="V215" i="15"/>
  <c r="V183" i="15"/>
  <c r="V171" i="15"/>
  <c r="V155" i="15"/>
  <c r="V147" i="15"/>
  <c r="V139" i="15"/>
  <c r="V123" i="15"/>
  <c r="V119" i="15"/>
  <c r="V115" i="15"/>
  <c r="V189" i="15"/>
  <c r="V173" i="15"/>
  <c r="V157" i="15"/>
  <c r="V133" i="15"/>
  <c r="V129" i="15"/>
  <c r="T112" i="15"/>
  <c r="V112" i="15"/>
  <c r="Z115" i="15"/>
  <c r="X115" i="15"/>
  <c r="L13" i="15"/>
  <c r="N13" i="15" s="1"/>
  <c r="D12" i="15"/>
  <c r="N194" i="18"/>
  <c r="N19" i="21"/>
  <c r="F14" i="6"/>
  <c r="F16" i="6"/>
  <c r="F18" i="6"/>
  <c r="F20" i="6"/>
  <c r="F22" i="6"/>
  <c r="J24" i="6"/>
  <c r="V33" i="9"/>
  <c r="V37" i="9"/>
  <c r="V41" i="9"/>
  <c r="V61" i="9"/>
  <c r="V73" i="9"/>
  <c r="V85" i="9"/>
  <c r="V93" i="9"/>
  <c r="L16" i="12"/>
  <c r="J132" i="12"/>
  <c r="J136" i="12"/>
  <c r="J140" i="12"/>
  <c r="J156" i="12"/>
  <c r="J174" i="12"/>
  <c r="J192" i="12"/>
  <c r="J208" i="12"/>
  <c r="X216" i="12"/>
  <c r="Z216" i="12" s="1"/>
  <c r="V81" i="15"/>
  <c r="V85" i="15"/>
  <c r="V89" i="15"/>
  <c r="V93" i="15"/>
  <c r="V97" i="15"/>
  <c r="V101" i="15"/>
  <c r="V154" i="15"/>
  <c r="Z170" i="15"/>
  <c r="Z177" i="15"/>
  <c r="J186" i="15"/>
  <c r="Z172" i="18"/>
  <c r="Z179" i="18"/>
  <c r="F96" i="21"/>
  <c r="F95" i="21"/>
  <c r="F72" i="21"/>
  <c r="F64" i="21"/>
  <c r="F63" i="21"/>
  <c r="F36" i="21"/>
  <c r="F79" i="21"/>
  <c r="F55" i="21"/>
  <c r="F54" i="21"/>
  <c r="F98" i="21"/>
  <c r="F97" i="21"/>
  <c r="F73" i="21"/>
  <c r="F100" i="21"/>
  <c r="F99" i="21"/>
  <c r="F80" i="21"/>
  <c r="F68" i="21"/>
  <c r="F67" i="21"/>
  <c r="F56" i="21"/>
  <c r="F91" i="21"/>
  <c r="F87" i="21"/>
  <c r="F75" i="21"/>
  <c r="F74" i="21"/>
  <c r="F47" i="21"/>
  <c r="F43" i="21"/>
  <c r="F39" i="21"/>
  <c r="F70" i="21"/>
  <c r="F69" i="21"/>
  <c r="F58" i="21"/>
  <c r="F57" i="21"/>
  <c r="F34" i="21"/>
  <c r="F104" i="21"/>
  <c r="F102" i="21"/>
  <c r="F93" i="21"/>
  <c r="F92" i="21"/>
  <c r="F81" i="21"/>
  <c r="F49" i="21"/>
  <c r="F48" i="21"/>
  <c r="F106" i="21"/>
  <c r="F88" i="21"/>
  <c r="F76" i="21"/>
  <c r="F60" i="21"/>
  <c r="F59" i="21"/>
  <c r="F44" i="21"/>
  <c r="F40" i="21"/>
  <c r="F111" i="21"/>
  <c r="F108" i="21"/>
  <c r="F89" i="21"/>
  <c r="F85" i="21"/>
  <c r="F84" i="21"/>
  <c r="F53" i="21"/>
  <c r="F52" i="21"/>
  <c r="F45" i="21"/>
  <c r="F41" i="21"/>
  <c r="F94" i="21"/>
  <c r="F90" i="21"/>
  <c r="F51" i="21"/>
  <c r="F28" i="21"/>
  <c r="F83" i="21"/>
  <c r="F61" i="21"/>
  <c r="F42" i="21"/>
  <c r="F22" i="21"/>
  <c r="L12" i="21"/>
  <c r="N12" i="21" s="1"/>
  <c r="F35" i="21"/>
  <c r="F78" i="21"/>
  <c r="F66" i="21"/>
  <c r="F33" i="21"/>
  <c r="F31" i="21"/>
  <c r="F50" i="21"/>
  <c r="F37" i="21"/>
  <c r="F82" i="21"/>
  <c r="F71" i="21"/>
  <c r="F62" i="21"/>
  <c r="F46" i="21"/>
  <c r="F29" i="21"/>
  <c r="F24" i="21"/>
  <c r="D24" i="21"/>
  <c r="F86" i="21"/>
  <c r="F26" i="21"/>
  <c r="F20" i="21"/>
  <c r="F19" i="21"/>
  <c r="F77" i="21"/>
  <c r="F38" i="21"/>
  <c r="F30" i="21"/>
  <c r="F21" i="21"/>
  <c r="H16" i="6"/>
  <c r="V50" i="9"/>
  <c r="X61" i="9"/>
  <c r="L71" i="9"/>
  <c r="V78" i="9"/>
  <c r="V90" i="9"/>
  <c r="X93" i="9"/>
  <c r="Z93" i="9" s="1"/>
  <c r="J85" i="12"/>
  <c r="J89" i="12"/>
  <c r="J93" i="12"/>
  <c r="J97" i="12"/>
  <c r="J101" i="12"/>
  <c r="J105" i="12"/>
  <c r="J109" i="12"/>
  <c r="J113" i="12"/>
  <c r="J149" i="12"/>
  <c r="J165" i="12"/>
  <c r="J173" i="12"/>
  <c r="J181" i="12"/>
  <c r="J207" i="12"/>
  <c r="X212" i="12"/>
  <c r="Z212" i="12" s="1"/>
  <c r="D219" i="12"/>
  <c r="L219" i="12" s="1"/>
  <c r="N219" i="12" s="1"/>
  <c r="J220" i="12"/>
  <c r="P219" i="12"/>
  <c r="X219" i="12" s="1"/>
  <c r="Z219" i="12" s="1"/>
  <c r="V77" i="15"/>
  <c r="Z147" i="15"/>
  <c r="X147" i="15"/>
  <c r="V190" i="15"/>
  <c r="N182" i="18"/>
  <c r="T108" i="21"/>
  <c r="V108" i="21" s="1"/>
  <c r="J14" i="6"/>
  <c r="J16" i="6"/>
  <c r="J18" i="6"/>
  <c r="J20" i="6"/>
  <c r="J22" i="6"/>
  <c r="R26" i="6"/>
  <c r="R28" i="6"/>
  <c r="R29" i="6"/>
  <c r="R31" i="6"/>
  <c r="V23" i="9"/>
  <c r="V27" i="9"/>
  <c r="V31" i="9"/>
  <c r="V59" i="9"/>
  <c r="V67" i="9"/>
  <c r="V79" i="9"/>
  <c r="V91" i="9"/>
  <c r="J122" i="12"/>
  <c r="J126" i="12"/>
  <c r="J148" i="12"/>
  <c r="J164" i="12"/>
  <c r="J172" i="12"/>
  <c r="J186" i="12"/>
  <c r="J198" i="12"/>
  <c r="J202" i="12"/>
  <c r="J206" i="12"/>
  <c r="J214" i="12"/>
  <c r="X221" i="12"/>
  <c r="Z221" i="12" s="1"/>
  <c r="J223" i="12"/>
  <c r="J110" i="15"/>
  <c r="V194" i="15"/>
  <c r="N192" i="18"/>
  <c r="V32" i="9"/>
  <c r="V36" i="9"/>
  <c r="V40" i="9"/>
  <c r="V48" i="9"/>
  <c r="V72" i="9"/>
  <c r="V84" i="9"/>
  <c r="P97" i="9"/>
  <c r="X97" i="9" s="1"/>
  <c r="V100" i="9"/>
  <c r="V102" i="9"/>
  <c r="J131" i="12"/>
  <c r="J135" i="12"/>
  <c r="J139" i="12"/>
  <c r="J147" i="12"/>
  <c r="J155" i="12"/>
  <c r="J163" i="12"/>
  <c r="J171" i="12"/>
  <c r="J191" i="12"/>
  <c r="J197" i="12"/>
  <c r="J219" i="12"/>
  <c r="J106" i="15"/>
  <c r="V114" i="15"/>
  <c r="V178" i="15"/>
  <c r="J210" i="15"/>
  <c r="V49" i="9"/>
  <c r="V57" i="9"/>
  <c r="V65" i="9"/>
  <c r="V77" i="9"/>
  <c r="V89" i="9"/>
  <c r="V99" i="9"/>
  <c r="J80" i="12"/>
  <c r="J84" i="12"/>
  <c r="J88" i="12"/>
  <c r="J92" i="12"/>
  <c r="J96" i="12"/>
  <c r="J100" i="12"/>
  <c r="J104" i="12"/>
  <c r="J108" i="12"/>
  <c r="J112" i="12"/>
  <c r="J130" i="12"/>
  <c r="J146" i="12"/>
  <c r="J154" i="12"/>
  <c r="J170" i="12"/>
  <c r="J180" i="12"/>
  <c r="J196" i="12"/>
  <c r="J78" i="15"/>
  <c r="J82" i="15"/>
  <c r="J86" i="15"/>
  <c r="J90" i="15"/>
  <c r="J94" i="15"/>
  <c r="J98" i="15"/>
  <c r="J102" i="15"/>
  <c r="Z126" i="15"/>
  <c r="N205" i="15"/>
  <c r="Z136" i="18"/>
  <c r="Z166" i="18"/>
  <c r="Z192" i="18"/>
  <c r="V66" i="9"/>
  <c r="V70" i="9"/>
  <c r="V98" i="9"/>
  <c r="J121" i="12"/>
  <c r="J125" i="12"/>
  <c r="J129" i="12"/>
  <c r="J145" i="12"/>
  <c r="J153" i="12"/>
  <c r="J169" i="12"/>
  <c r="J185" i="12"/>
  <c r="J201" i="12"/>
  <c r="J205" i="12"/>
  <c r="V110" i="15"/>
  <c r="V146" i="15"/>
  <c r="V162" i="15"/>
  <c r="R14" i="6"/>
  <c r="R16" i="6"/>
  <c r="R18" i="6"/>
  <c r="R20" i="6"/>
  <c r="V35" i="9"/>
  <c r="V39" i="9"/>
  <c r="V47" i="9"/>
  <c r="V55" i="9"/>
  <c r="V71" i="9"/>
  <c r="V75" i="9"/>
  <c r="V83" i="9"/>
  <c r="V87" i="9"/>
  <c r="V95" i="9"/>
  <c r="V97" i="9"/>
  <c r="J222" i="12"/>
  <c r="J227" i="12"/>
  <c r="J134" i="12"/>
  <c r="J138" i="12"/>
  <c r="X141" i="12"/>
  <c r="Z141" i="12" s="1"/>
  <c r="X157" i="12"/>
  <c r="Z157" i="12" s="1"/>
  <c r="J162" i="12"/>
  <c r="J168" i="12"/>
  <c r="J190" i="12"/>
  <c r="J212" i="12"/>
  <c r="V106" i="15"/>
  <c r="N115" i="15"/>
  <c r="N137" i="15"/>
  <c r="Z150" i="15"/>
  <c r="Z157" i="15"/>
  <c r="N203" i="15"/>
  <c r="Z205" i="15"/>
  <c r="Z164" i="18"/>
  <c r="Z190" i="18"/>
  <c r="X187" i="3"/>
  <c r="V44" i="9"/>
  <c r="V56" i="9"/>
  <c r="V64" i="9"/>
  <c r="V76" i="9"/>
  <c r="V88" i="9"/>
  <c r="J79" i="12"/>
  <c r="J83" i="12"/>
  <c r="J87" i="12"/>
  <c r="J91" i="12"/>
  <c r="J95" i="12"/>
  <c r="J99" i="12"/>
  <c r="J103" i="12"/>
  <c r="J107" i="12"/>
  <c r="J111" i="12"/>
  <c r="H116" i="12"/>
  <c r="J161" i="12"/>
  <c r="J167" i="12"/>
  <c r="L168" i="12"/>
  <c r="N168" i="12" s="1"/>
  <c r="X174" i="12"/>
  <c r="Z174" i="12" s="1"/>
  <c r="J179" i="12"/>
  <c r="J195" i="12"/>
  <c r="J211" i="12"/>
  <c r="J217" i="12"/>
  <c r="J213" i="15"/>
  <c r="J212" i="15"/>
  <c r="J204" i="15"/>
  <c r="J188" i="15"/>
  <c r="J182" i="15"/>
  <c r="J176" i="15"/>
  <c r="J170" i="15"/>
  <c r="J152" i="15"/>
  <c r="J136" i="15"/>
  <c r="J132" i="15"/>
  <c r="J128" i="15"/>
  <c r="J214" i="15"/>
  <c r="J205" i="15"/>
  <c r="J183" i="15"/>
  <c r="J177" i="15"/>
  <c r="J171" i="15"/>
  <c r="J153" i="15"/>
  <c r="J137" i="15"/>
  <c r="J123" i="15"/>
  <c r="J119" i="15"/>
  <c r="J215" i="15"/>
  <c r="J206" i="15"/>
  <c r="J198" i="15"/>
  <c r="J194" i="15"/>
  <c r="J178" i="15"/>
  <c r="J172" i="15"/>
  <c r="J162" i="15"/>
  <c r="J154" i="15"/>
  <c r="J146" i="15"/>
  <c r="J138" i="15"/>
  <c r="J216" i="15"/>
  <c r="J189" i="15"/>
  <c r="J173" i="15"/>
  <c r="J155" i="15"/>
  <c r="J147" i="15"/>
  <c r="J139" i="15"/>
  <c r="J133" i="15"/>
  <c r="J129" i="15"/>
  <c r="J115" i="15"/>
  <c r="J190" i="15"/>
  <c r="J184" i="15"/>
  <c r="J156" i="15"/>
  <c r="J148" i="15"/>
  <c r="J140" i="15"/>
  <c r="J124" i="15"/>
  <c r="J120" i="15"/>
  <c r="J116" i="15"/>
  <c r="J114" i="15"/>
  <c r="J207" i="15"/>
  <c r="J199" i="15"/>
  <c r="J195" i="15"/>
  <c r="J191" i="15"/>
  <c r="J179" i="15"/>
  <c r="J163" i="15"/>
  <c r="J157" i="15"/>
  <c r="H112" i="15"/>
  <c r="J112" i="15" s="1"/>
  <c r="J107" i="15"/>
  <c r="J103" i="15"/>
  <c r="J99" i="15"/>
  <c r="J95" i="15"/>
  <c r="J91" i="15"/>
  <c r="J87" i="15"/>
  <c r="J83" i="15"/>
  <c r="J79" i="15"/>
  <c r="J220" i="15"/>
  <c r="J200" i="15"/>
  <c r="J174" i="15"/>
  <c r="J164" i="15"/>
  <c r="J158" i="15"/>
  <c r="J134" i="15"/>
  <c r="J130" i="15"/>
  <c r="J201" i="15"/>
  <c r="J185" i="15"/>
  <c r="J165" i="15"/>
  <c r="J149" i="15"/>
  <c r="J141" i="15"/>
  <c r="J125" i="15"/>
  <c r="J121" i="15"/>
  <c r="J117" i="15"/>
  <c r="J208" i="15"/>
  <c r="J196" i="15"/>
  <c r="J192" i="15"/>
  <c r="J180" i="15"/>
  <c r="J166" i="15"/>
  <c r="J150" i="15"/>
  <c r="J142" i="15"/>
  <c r="J126" i="15"/>
  <c r="J108" i="15"/>
  <c r="J104" i="15"/>
  <c r="J100" i="15"/>
  <c r="J96" i="15"/>
  <c r="J92" i="15"/>
  <c r="J88" i="15"/>
  <c r="J84" i="15"/>
  <c r="J80" i="15"/>
  <c r="J209" i="15"/>
  <c r="J175" i="15"/>
  <c r="J167" i="15"/>
  <c r="J159" i="15"/>
  <c r="J151" i="15"/>
  <c r="J143" i="15"/>
  <c r="J135" i="15"/>
  <c r="J131" i="15"/>
  <c r="J127" i="15"/>
  <c r="J203" i="15"/>
  <c r="J197" i="15"/>
  <c r="J193" i="15"/>
  <c r="J187" i="15"/>
  <c r="J181" i="15"/>
  <c r="J169" i="15"/>
  <c r="J161" i="15"/>
  <c r="J145" i="15"/>
  <c r="J109" i="15"/>
  <c r="J105" i="15"/>
  <c r="J101" i="15"/>
  <c r="J97" i="15"/>
  <c r="J93" i="15"/>
  <c r="J89" i="15"/>
  <c r="J85" i="15"/>
  <c r="J81" i="15"/>
  <c r="J77" i="15"/>
  <c r="J76" i="15"/>
  <c r="V78" i="15"/>
  <c r="V82" i="15"/>
  <c r="V86" i="15"/>
  <c r="V90" i="15"/>
  <c r="V94" i="15"/>
  <c r="V98" i="15"/>
  <c r="V102" i="15"/>
  <c r="J118" i="15"/>
  <c r="Z139" i="15"/>
  <c r="X139" i="15"/>
  <c r="J144" i="15"/>
  <c r="V198" i="15"/>
  <c r="X214" i="15"/>
  <c r="Z214" i="15" s="1"/>
  <c r="P212" i="15"/>
  <c r="X212" i="15" s="1"/>
  <c r="Z212" i="15" s="1"/>
  <c r="V14" i="6"/>
  <c r="V16" i="6"/>
  <c r="V18" i="6"/>
  <c r="V20" i="6"/>
  <c r="F26" i="6"/>
  <c r="F28" i="6"/>
  <c r="F29" i="6"/>
  <c r="V21" i="9"/>
  <c r="V25" i="9"/>
  <c r="V29" i="9"/>
  <c r="V45" i="9"/>
  <c r="V53" i="9"/>
  <c r="V69" i="9"/>
  <c r="J78" i="12"/>
  <c r="J118" i="12"/>
  <c r="J120" i="12"/>
  <c r="J124" i="12"/>
  <c r="J128" i="12"/>
  <c r="J144" i="12"/>
  <c r="J152" i="12"/>
  <c r="J160" i="12"/>
  <c r="J178" i="12"/>
  <c r="J184" i="12"/>
  <c r="J194" i="12"/>
  <c r="J200" i="12"/>
  <c r="J204" i="12"/>
  <c r="J210" i="12"/>
  <c r="P12" i="15"/>
  <c r="Z137" i="15"/>
  <c r="X155" i="15"/>
  <c r="Z155" i="15" s="1"/>
  <c r="J160" i="15"/>
  <c r="V216" i="15"/>
  <c r="P12" i="18"/>
  <c r="Z148" i="18"/>
  <c r="N186" i="18"/>
  <c r="Z188" i="18"/>
  <c r="N222" i="18"/>
  <c r="N225" i="18"/>
  <c r="L213" i="15"/>
  <c r="N213" i="15" s="1"/>
  <c r="V90" i="18"/>
  <c r="V94" i="18"/>
  <c r="V98" i="18"/>
  <c r="V102" i="18"/>
  <c r="V106" i="18"/>
  <c r="V110" i="18"/>
  <c r="V114" i="18"/>
  <c r="V118" i="18"/>
  <c r="V122" i="18"/>
  <c r="V126" i="18"/>
  <c r="V130" i="18"/>
  <c r="J136" i="18"/>
  <c r="J138" i="18"/>
  <c r="J142" i="18"/>
  <c r="J146" i="18"/>
  <c r="J162" i="18"/>
  <c r="V166" i="18"/>
  <c r="J170" i="18"/>
  <c r="J178" i="18"/>
  <c r="V182" i="18"/>
  <c r="V190" i="18"/>
  <c r="V202" i="18"/>
  <c r="J206" i="18"/>
  <c r="J212" i="18"/>
  <c r="V214" i="18"/>
  <c r="V218" i="18"/>
  <c r="V230" i="18"/>
  <c r="J239" i="18"/>
  <c r="V91" i="21"/>
  <c r="V87" i="21"/>
  <c r="V75" i="21"/>
  <c r="V59" i="21"/>
  <c r="V47" i="21"/>
  <c r="V43" i="21"/>
  <c r="V39" i="21"/>
  <c r="V82" i="21"/>
  <c r="V70" i="21"/>
  <c r="V58" i="21"/>
  <c r="V50" i="21"/>
  <c r="V34" i="21"/>
  <c r="V106" i="21"/>
  <c r="V88" i="21"/>
  <c r="V84" i="21"/>
  <c r="V76" i="21"/>
  <c r="V60" i="21"/>
  <c r="V52" i="21"/>
  <c r="V44" i="21"/>
  <c r="V40" i="21"/>
  <c r="V95" i="21"/>
  <c r="V83" i="21"/>
  <c r="V71" i="21"/>
  <c r="V63" i="21"/>
  <c r="V51" i="21"/>
  <c r="V35" i="21"/>
  <c r="V31" i="21"/>
  <c r="V27" i="21"/>
  <c r="V94" i="21"/>
  <c r="V78" i="21"/>
  <c r="V62" i="21"/>
  <c r="V54" i="21"/>
  <c r="V26" i="21"/>
  <c r="V24" i="21"/>
  <c r="V22" i="21"/>
  <c r="V97" i="21"/>
  <c r="V89" i="21"/>
  <c r="V85" i="21"/>
  <c r="V65" i="21"/>
  <c r="V53" i="21"/>
  <c r="V45" i="21"/>
  <c r="V41" i="21"/>
  <c r="V37" i="21"/>
  <c r="V96" i="21"/>
  <c r="V72" i="21"/>
  <c r="V64" i="21"/>
  <c r="V36" i="21"/>
  <c r="V99" i="21"/>
  <c r="V79" i="21"/>
  <c r="V67" i="21"/>
  <c r="V55" i="21"/>
  <c r="V104" i="21"/>
  <c r="V102" i="21"/>
  <c r="V100" i="21"/>
  <c r="V92" i="21"/>
  <c r="V80" i="21"/>
  <c r="V68" i="21"/>
  <c r="V56" i="21"/>
  <c r="V48" i="21"/>
  <c r="V42" i="21"/>
  <c r="Z57" i="21"/>
  <c r="Z74" i="21"/>
  <c r="J94" i="21"/>
  <c r="X64" i="24"/>
  <c r="Z64" i="24" s="1"/>
  <c r="N95" i="27"/>
  <c r="J92" i="18"/>
  <c r="J96" i="18"/>
  <c r="J100" i="18"/>
  <c r="J104" i="18"/>
  <c r="J108" i="18"/>
  <c r="J112" i="18"/>
  <c r="J116" i="18"/>
  <c r="J120" i="18"/>
  <c r="J124" i="18"/>
  <c r="J128" i="18"/>
  <c r="J132" i="18"/>
  <c r="V148" i="18"/>
  <c r="V152" i="18"/>
  <c r="V156" i="18"/>
  <c r="J160" i="18"/>
  <c r="V164" i="18"/>
  <c r="J168" i="18"/>
  <c r="V172" i="18"/>
  <c r="J176" i="18"/>
  <c r="V180" i="18"/>
  <c r="J184" i="18"/>
  <c r="V188" i="18"/>
  <c r="J194" i="18"/>
  <c r="V196" i="18"/>
  <c r="J200" i="18"/>
  <c r="J216" i="18"/>
  <c r="J220" i="18"/>
  <c r="J228" i="18"/>
  <c r="J237" i="18"/>
  <c r="J63" i="21"/>
  <c r="Z87" i="24"/>
  <c r="N58" i="33"/>
  <c r="Z54" i="36"/>
  <c r="D12" i="18"/>
  <c r="V93" i="18"/>
  <c r="V97" i="18"/>
  <c r="V101" i="18"/>
  <c r="V105" i="18"/>
  <c r="V109" i="18"/>
  <c r="V113" i="18"/>
  <c r="V117" i="18"/>
  <c r="V121" i="18"/>
  <c r="V125" i="18"/>
  <c r="V129" i="18"/>
  <c r="J141" i="18"/>
  <c r="J145" i="18"/>
  <c r="J159" i="18"/>
  <c r="J175" i="18"/>
  <c r="V185" i="18"/>
  <c r="J193" i="18"/>
  <c r="J199" i="18"/>
  <c r="V201" i="18"/>
  <c r="J205" i="18"/>
  <c r="V213" i="18"/>
  <c r="V217" i="18"/>
  <c r="V221" i="18"/>
  <c r="J227" i="18"/>
  <c r="V229" i="18"/>
  <c r="J236" i="18"/>
  <c r="J27" i="21"/>
  <c r="J73" i="21"/>
  <c r="N73" i="24"/>
  <c r="V87" i="24"/>
  <c r="N35" i="27"/>
  <c r="L35" i="27"/>
  <c r="V142" i="18"/>
  <c r="V146" i="18"/>
  <c r="J150" i="18"/>
  <c r="J154" i="18"/>
  <c r="J158" i="18"/>
  <c r="V162" i="18"/>
  <c r="V170" i="18"/>
  <c r="J174" i="18"/>
  <c r="V178" i="18"/>
  <c r="V186" i="18"/>
  <c r="J192" i="18"/>
  <c r="J198" i="18"/>
  <c r="J204" i="18"/>
  <c r="V206" i="18"/>
  <c r="J210" i="18"/>
  <c r="V222" i="18"/>
  <c r="J226" i="18"/>
  <c r="J234" i="18"/>
  <c r="J235" i="18"/>
  <c r="P12" i="24"/>
  <c r="X13" i="24"/>
  <c r="F94" i="24"/>
  <c r="J91" i="18"/>
  <c r="J95" i="18"/>
  <c r="J99" i="18"/>
  <c r="J103" i="18"/>
  <c r="J107" i="18"/>
  <c r="J111" i="18"/>
  <c r="J115" i="18"/>
  <c r="J119" i="18"/>
  <c r="J123" i="18"/>
  <c r="J127" i="18"/>
  <c r="J131" i="18"/>
  <c r="T134" i="18"/>
  <c r="V134" i="18" s="1"/>
  <c r="V151" i="18"/>
  <c r="V155" i="18"/>
  <c r="J167" i="18"/>
  <c r="V179" i="18"/>
  <c r="J183" i="18"/>
  <c r="J191" i="18"/>
  <c r="V195" i="18"/>
  <c r="J203" i="18"/>
  <c r="J209" i="18"/>
  <c r="V211" i="18"/>
  <c r="J215" i="18"/>
  <c r="J219" i="18"/>
  <c r="J225" i="18"/>
  <c r="V239" i="18"/>
  <c r="L13" i="21"/>
  <c r="N13" i="21" s="1"/>
  <c r="J19" i="21"/>
  <c r="L26" i="21"/>
  <c r="N26" i="21" s="1"/>
  <c r="N52" i="21"/>
  <c r="Z65" i="21"/>
  <c r="N84" i="21"/>
  <c r="F40" i="24"/>
  <c r="F58" i="24"/>
  <c r="D12" i="27"/>
  <c r="T116" i="27"/>
  <c r="V116" i="27" s="1"/>
  <c r="J90" i="18"/>
  <c r="V92" i="18"/>
  <c r="V96" i="18"/>
  <c r="V100" i="18"/>
  <c r="V104" i="18"/>
  <c r="V108" i="18"/>
  <c r="V112" i="18"/>
  <c r="V116" i="18"/>
  <c r="V120" i="18"/>
  <c r="V124" i="18"/>
  <c r="V128" i="18"/>
  <c r="V132" i="18"/>
  <c r="V136" i="18"/>
  <c r="J140" i="18"/>
  <c r="J144" i="18"/>
  <c r="V160" i="18"/>
  <c r="J166" i="18"/>
  <c r="V168" i="18"/>
  <c r="V176" i="18"/>
  <c r="J182" i="18"/>
  <c r="V184" i="18"/>
  <c r="J190" i="18"/>
  <c r="V200" i="18"/>
  <c r="J208" i="18"/>
  <c r="V212" i="18"/>
  <c r="V216" i="18"/>
  <c r="V220" i="18"/>
  <c r="J224" i="18"/>
  <c r="V228" i="18"/>
  <c r="J232" i="18"/>
  <c r="V238" i="18"/>
  <c r="H24" i="21"/>
  <c r="J24" i="21" s="1"/>
  <c r="J29" i="21"/>
  <c r="J52" i="21"/>
  <c r="J62" i="21"/>
  <c r="N82" i="21"/>
  <c r="J84" i="21"/>
  <c r="V86" i="21"/>
  <c r="Z47" i="24"/>
  <c r="N58" i="24"/>
  <c r="L58" i="24"/>
  <c r="J105" i="27"/>
  <c r="J89" i="27"/>
  <c r="J79" i="27"/>
  <c r="J73" i="27"/>
  <c r="J69" i="27"/>
  <c r="J110" i="27"/>
  <c r="J93" i="27"/>
  <c r="J83" i="27"/>
  <c r="J65" i="27"/>
  <c r="J61" i="27"/>
  <c r="J101" i="27"/>
  <c r="J85" i="27"/>
  <c r="J75" i="27"/>
  <c r="J71" i="27"/>
  <c r="J67" i="27"/>
  <c r="J95" i="27"/>
  <c r="J87" i="27"/>
  <c r="J82" i="27"/>
  <c r="J64" i="27"/>
  <c r="J49" i="27"/>
  <c r="J45" i="27"/>
  <c r="J41" i="27"/>
  <c r="J37" i="27"/>
  <c r="J114" i="27"/>
  <c r="J109" i="27"/>
  <c r="J99" i="27"/>
  <c r="J96" i="27"/>
  <c r="J76" i="27"/>
  <c r="J62" i="27"/>
  <c r="J59" i="27"/>
  <c r="J102" i="27"/>
  <c r="J86" i="27"/>
  <c r="J50" i="27"/>
  <c r="J46" i="27"/>
  <c r="J42" i="27"/>
  <c r="J38" i="27"/>
  <c r="J55" i="27"/>
  <c r="J97" i="27"/>
  <c r="J90" i="27"/>
  <c r="J80" i="27"/>
  <c r="J77" i="27"/>
  <c r="J60" i="27"/>
  <c r="J56" i="27"/>
  <c r="J54" i="27"/>
  <c r="J107" i="27"/>
  <c r="J74" i="27"/>
  <c r="J66" i="27"/>
  <c r="J63" i="27"/>
  <c r="H52" i="27"/>
  <c r="J52" i="27" s="1"/>
  <c r="J47" i="27"/>
  <c r="J43" i="27"/>
  <c r="J39" i="27"/>
  <c r="J103" i="27"/>
  <c r="J94" i="27"/>
  <c r="J81" i="27"/>
  <c r="J72" i="27"/>
  <c r="J100" i="27"/>
  <c r="J91" i="27"/>
  <c r="J84" i="27"/>
  <c r="J57" i="27"/>
  <c r="J35" i="27"/>
  <c r="J104" i="27"/>
  <c r="J92" i="27"/>
  <c r="J68" i="27"/>
  <c r="J58" i="27"/>
  <c r="L157" i="15"/>
  <c r="N157" i="15" s="1"/>
  <c r="V137" i="18"/>
  <c r="V141" i="18"/>
  <c r="V145" i="18"/>
  <c r="J149" i="18"/>
  <c r="J153" i="18"/>
  <c r="J157" i="18"/>
  <c r="V161" i="18"/>
  <c r="J165" i="18"/>
  <c r="L166" i="18"/>
  <c r="N166" i="18" s="1"/>
  <c r="V169" i="18"/>
  <c r="J173" i="18"/>
  <c r="V177" i="18"/>
  <c r="J181" i="18"/>
  <c r="L182" i="18"/>
  <c r="J189" i="18"/>
  <c r="L190" i="18"/>
  <c r="V193" i="18"/>
  <c r="J197" i="18"/>
  <c r="V205" i="18"/>
  <c r="X212" i="18"/>
  <c r="Z212" i="18" s="1"/>
  <c r="J231" i="18"/>
  <c r="P234" i="18"/>
  <c r="X234" i="18" s="1"/>
  <c r="Z234" i="18" s="1"/>
  <c r="V237" i="18"/>
  <c r="X26" i="21"/>
  <c r="Z26" i="21" s="1"/>
  <c r="J94" i="18"/>
  <c r="J98" i="18"/>
  <c r="J102" i="18"/>
  <c r="J106" i="18"/>
  <c r="J110" i="18"/>
  <c r="J114" i="18"/>
  <c r="J118" i="18"/>
  <c r="J122" i="18"/>
  <c r="J126" i="18"/>
  <c r="J130" i="18"/>
  <c r="J148" i="18"/>
  <c r="V150" i="18"/>
  <c r="V154" i="18"/>
  <c r="V158" i="18"/>
  <c r="J164" i="18"/>
  <c r="J172" i="18"/>
  <c r="V174" i="18"/>
  <c r="J188" i="18"/>
  <c r="V194" i="18"/>
  <c r="V198" i="18"/>
  <c r="J202" i="18"/>
  <c r="V210" i="18"/>
  <c r="J214" i="18"/>
  <c r="J218" i="18"/>
  <c r="V226" i="18"/>
  <c r="J230" i="18"/>
  <c r="V236" i="18"/>
  <c r="J97" i="21"/>
  <c r="J79" i="21"/>
  <c r="J65" i="21"/>
  <c r="J55" i="21"/>
  <c r="J37" i="21"/>
  <c r="J98" i="21"/>
  <c r="J90" i="21"/>
  <c r="J86" i="21"/>
  <c r="J66" i="21"/>
  <c r="J46" i="21"/>
  <c r="J42" i="21"/>
  <c r="J38" i="21"/>
  <c r="J99" i="21"/>
  <c r="J100" i="21"/>
  <c r="J80" i="21"/>
  <c r="J74" i="21"/>
  <c r="J68" i="21"/>
  <c r="J56" i="21"/>
  <c r="J91" i="21"/>
  <c r="J87" i="21"/>
  <c r="J75" i="21"/>
  <c r="J69" i="21"/>
  <c r="J57" i="21"/>
  <c r="J47" i="21"/>
  <c r="J43" i="21"/>
  <c r="J39" i="21"/>
  <c r="J102" i="21"/>
  <c r="J92" i="21"/>
  <c r="J70" i="21"/>
  <c r="J58" i="21"/>
  <c r="J48" i="21"/>
  <c r="J34" i="21"/>
  <c r="J30" i="21"/>
  <c r="J93" i="21"/>
  <c r="J81" i="21"/>
  <c r="J59" i="21"/>
  <c r="J49" i="21"/>
  <c r="J106" i="21"/>
  <c r="J88" i="21"/>
  <c r="J82" i="21"/>
  <c r="J76" i="21"/>
  <c r="J60" i="21"/>
  <c r="J50" i="21"/>
  <c r="J44" i="21"/>
  <c r="J40" i="21"/>
  <c r="J83" i="21"/>
  <c r="J77" i="21"/>
  <c r="J71" i="21"/>
  <c r="J61" i="21"/>
  <c r="J51" i="21"/>
  <c r="J35" i="21"/>
  <c r="J31" i="21"/>
  <c r="J96" i="21"/>
  <c r="J72" i="21"/>
  <c r="J64" i="21"/>
  <c r="J54" i="21"/>
  <c r="J36" i="21"/>
  <c r="J32" i="21"/>
  <c r="J28" i="21"/>
  <c r="J26" i="21"/>
  <c r="J33" i="21"/>
  <c r="Z69" i="21"/>
  <c r="J78" i="21"/>
  <c r="X82" i="21"/>
  <c r="Z82" i="21"/>
  <c r="J95" i="21"/>
  <c r="N79" i="27"/>
  <c r="Z101" i="27"/>
  <c r="J139" i="18"/>
  <c r="J143" i="18"/>
  <c r="J147" i="18"/>
  <c r="V159" i="18"/>
  <c r="J163" i="18"/>
  <c r="V167" i="18"/>
  <c r="J171" i="18"/>
  <c r="V175" i="18"/>
  <c r="V183" i="18"/>
  <c r="J187" i="18"/>
  <c r="V191" i="18"/>
  <c r="V199" i="18"/>
  <c r="V203" i="18"/>
  <c r="J207" i="18"/>
  <c r="V215" i="18"/>
  <c r="V219" i="18"/>
  <c r="J223" i="18"/>
  <c r="V227" i="18"/>
  <c r="V235" i="18"/>
  <c r="J243" i="18"/>
  <c r="X50" i="21"/>
  <c r="Z50" i="21"/>
  <c r="Z67" i="21"/>
  <c r="X67" i="21"/>
  <c r="X126" i="15"/>
  <c r="X142" i="15"/>
  <c r="X150" i="15"/>
  <c r="X166" i="15"/>
  <c r="Z166" i="15" s="1"/>
  <c r="V140" i="18"/>
  <c r="V144" i="18"/>
  <c r="J152" i="18"/>
  <c r="J156" i="18"/>
  <c r="J180" i="18"/>
  <c r="J186" i="18"/>
  <c r="V192" i="18"/>
  <c r="J196" i="18"/>
  <c r="V204" i="18"/>
  <c r="V208" i="18"/>
  <c r="J222" i="18"/>
  <c r="V224" i="18"/>
  <c r="V232" i="18"/>
  <c r="V234" i="18"/>
  <c r="X15" i="21"/>
  <c r="Z15" i="21" s="1"/>
  <c r="Z37" i="21"/>
  <c r="X99" i="21"/>
  <c r="Z99" i="21" s="1"/>
  <c r="F99" i="24"/>
  <c r="F96" i="24"/>
  <c r="F85" i="24"/>
  <c r="F84" i="24"/>
  <c r="F61" i="24"/>
  <c r="F60" i="24"/>
  <c r="F45" i="24"/>
  <c r="F41" i="24"/>
  <c r="F80" i="24"/>
  <c r="F79" i="24"/>
  <c r="F72" i="24"/>
  <c r="F71" i="24"/>
  <c r="F32" i="24"/>
  <c r="F28" i="24"/>
  <c r="F63" i="24"/>
  <c r="F62" i="24"/>
  <c r="F55" i="24"/>
  <c r="F51" i="24"/>
  <c r="F86" i="24"/>
  <c r="F74" i="24"/>
  <c r="F73" i="24"/>
  <c r="F46" i="24"/>
  <c r="F42" i="24"/>
  <c r="F81" i="24"/>
  <c r="F65" i="24"/>
  <c r="F64" i="24"/>
  <c r="F33" i="24"/>
  <c r="F29" i="24"/>
  <c r="F88" i="24"/>
  <c r="F87" i="24"/>
  <c r="F56" i="24"/>
  <c r="F52" i="24"/>
  <c r="F48" i="24"/>
  <c r="F47" i="24"/>
  <c r="F75" i="24"/>
  <c r="F43" i="24"/>
  <c r="F39" i="24"/>
  <c r="F38" i="24"/>
  <c r="F82" i="24"/>
  <c r="F66" i="24"/>
  <c r="F37" i="24"/>
  <c r="F35" i="24"/>
  <c r="F30" i="24"/>
  <c r="F26" i="24"/>
  <c r="F25" i="24"/>
  <c r="L12" i="24"/>
  <c r="N12" i="24" s="1"/>
  <c r="F92" i="24"/>
  <c r="F90" i="24"/>
  <c r="F77" i="24"/>
  <c r="F76" i="24"/>
  <c r="F57" i="24"/>
  <c r="F53" i="24"/>
  <c r="F49" i="24"/>
  <c r="D35" i="24"/>
  <c r="F78" i="24"/>
  <c r="F70" i="24"/>
  <c r="F69" i="24"/>
  <c r="F54" i="24"/>
  <c r="F50" i="24"/>
  <c r="P12" i="27"/>
  <c r="Z79" i="27"/>
  <c r="D12" i="30"/>
  <c r="J93" i="18"/>
  <c r="J97" i="18"/>
  <c r="J101" i="18"/>
  <c r="J105" i="18"/>
  <c r="J109" i="18"/>
  <c r="J113" i="18"/>
  <c r="J117" i="18"/>
  <c r="J121" i="18"/>
  <c r="J125" i="18"/>
  <c r="J129" i="18"/>
  <c r="H134" i="18"/>
  <c r="J134" i="18" s="1"/>
  <c r="V149" i="18"/>
  <c r="V153" i="18"/>
  <c r="V157" i="18"/>
  <c r="V165" i="18"/>
  <c r="V173" i="18"/>
  <c r="J179" i="18"/>
  <c r="V181" i="18"/>
  <c r="J185" i="18"/>
  <c r="V189" i="18"/>
  <c r="V197" i="18"/>
  <c r="J201" i="18"/>
  <c r="V209" i="18"/>
  <c r="J213" i="18"/>
  <c r="J217" i="18"/>
  <c r="J221" i="18"/>
  <c r="J229" i="18"/>
  <c r="V19" i="21"/>
  <c r="N61" i="21"/>
  <c r="L61" i="21"/>
  <c r="L77" i="21"/>
  <c r="N77" i="21" s="1"/>
  <c r="J85" i="21"/>
  <c r="F44" i="24"/>
  <c r="F59" i="24"/>
  <c r="Z62" i="24"/>
  <c r="X13" i="27"/>
  <c r="Z13" i="27" s="1"/>
  <c r="Z77" i="27"/>
  <c r="V25" i="24"/>
  <c r="V29" i="24"/>
  <c r="V33" i="24"/>
  <c r="V35" i="24"/>
  <c r="V37" i="24"/>
  <c r="J41" i="24"/>
  <c r="J45" i="24"/>
  <c r="J61" i="24"/>
  <c r="V65" i="24"/>
  <c r="J71" i="24"/>
  <c r="J79" i="24"/>
  <c r="V81" i="24"/>
  <c r="J85" i="24"/>
  <c r="V38" i="27"/>
  <c r="V42" i="27"/>
  <c r="V46" i="27"/>
  <c r="V50" i="27"/>
  <c r="V52" i="27"/>
  <c r="V54" i="27"/>
  <c r="V62" i="27"/>
  <c r="V71" i="27"/>
  <c r="V76" i="27"/>
  <c r="V83" i="27"/>
  <c r="N85" i="27"/>
  <c r="V96" i="27"/>
  <c r="V99" i="27"/>
  <c r="N101" i="27"/>
  <c r="P12" i="30"/>
  <c r="X13" i="30"/>
  <c r="Z13" i="30" s="1"/>
  <c r="L118" i="30"/>
  <c r="N118" i="30" s="1"/>
  <c r="N120" i="30"/>
  <c r="V28" i="24"/>
  <c r="V32" i="24"/>
  <c r="J40" i="24"/>
  <c r="J44" i="24"/>
  <c r="J58" i="24"/>
  <c r="V64" i="24"/>
  <c r="J68" i="24"/>
  <c r="V72" i="24"/>
  <c r="V80" i="24"/>
  <c r="J94" i="24"/>
  <c r="V37" i="27"/>
  <c r="V41" i="27"/>
  <c r="V45" i="27"/>
  <c r="V49" i="27"/>
  <c r="V64" i="27"/>
  <c r="V68" i="27"/>
  <c r="N81" i="27"/>
  <c r="D107" i="27"/>
  <c r="L107" i="27" s="1"/>
  <c r="V109" i="27"/>
  <c r="X124" i="30"/>
  <c r="Z52" i="33"/>
  <c r="N66" i="33"/>
  <c r="P12" i="36"/>
  <c r="X18" i="36"/>
  <c r="Z18" i="36" s="1"/>
  <c r="Z41" i="36"/>
  <c r="V41" i="24"/>
  <c r="V45" i="24"/>
  <c r="J49" i="24"/>
  <c r="J53" i="24"/>
  <c r="J57" i="24"/>
  <c r="V61" i="24"/>
  <c r="J67" i="24"/>
  <c r="V73" i="24"/>
  <c r="J77" i="24"/>
  <c r="V85" i="24"/>
  <c r="V88" i="27"/>
  <c r="Z95" i="27"/>
  <c r="V98" i="27"/>
  <c r="N107" i="27"/>
  <c r="H165" i="30"/>
  <c r="J165" i="30" s="1"/>
  <c r="Z124" i="30"/>
  <c r="J26" i="24"/>
  <c r="J30" i="24"/>
  <c r="H35" i="24"/>
  <c r="V50" i="24"/>
  <c r="V54" i="24"/>
  <c r="V62" i="24"/>
  <c r="J66" i="24"/>
  <c r="V70" i="24"/>
  <c r="J76" i="24"/>
  <c r="V78" i="24"/>
  <c r="J82" i="24"/>
  <c r="J90" i="24"/>
  <c r="V70" i="27"/>
  <c r="N77" i="27"/>
  <c r="N87" i="27"/>
  <c r="N97" i="27"/>
  <c r="N79" i="30"/>
  <c r="J79" i="30"/>
  <c r="N110" i="30"/>
  <c r="Z54" i="33"/>
  <c r="J25" i="24"/>
  <c r="V27" i="24"/>
  <c r="V31" i="24"/>
  <c r="J35" i="24"/>
  <c r="J37" i="24"/>
  <c r="J39" i="24"/>
  <c r="J43" i="24"/>
  <c r="V59" i="24"/>
  <c r="V71" i="24"/>
  <c r="J75" i="24"/>
  <c r="V79" i="24"/>
  <c r="V83" i="24"/>
  <c r="V101" i="27"/>
  <c r="V93" i="27"/>
  <c r="V85" i="27"/>
  <c r="V65" i="27"/>
  <c r="V61" i="27"/>
  <c r="V97" i="27"/>
  <c r="V77" i="27"/>
  <c r="V103" i="27"/>
  <c r="V79" i="27"/>
  <c r="V63" i="27"/>
  <c r="V107" i="27"/>
  <c r="V105" i="27"/>
  <c r="V89" i="27"/>
  <c r="V81" i="27"/>
  <c r="V73" i="27"/>
  <c r="V69" i="27"/>
  <c r="V36" i="27"/>
  <c r="V40" i="27"/>
  <c r="V44" i="27"/>
  <c r="V48" i="27"/>
  <c r="V91" i="27"/>
  <c r="V92" i="27"/>
  <c r="X95" i="27"/>
  <c r="V104" i="27"/>
  <c r="V108" i="27"/>
  <c r="J76" i="30"/>
  <c r="N100" i="30"/>
  <c r="P12" i="33"/>
  <c r="N77" i="33"/>
  <c r="H134" i="36"/>
  <c r="J38" i="24"/>
  <c r="V40" i="24"/>
  <c r="V44" i="24"/>
  <c r="J48" i="24"/>
  <c r="J52" i="24"/>
  <c r="J56" i="24"/>
  <c r="V60" i="24"/>
  <c r="V68" i="24"/>
  <c r="V84" i="24"/>
  <c r="J88" i="24"/>
  <c r="V94" i="24"/>
  <c r="V67" i="27"/>
  <c r="V72" i="27"/>
  <c r="V84" i="27"/>
  <c r="V94" i="27"/>
  <c r="V100" i="27"/>
  <c r="P107" i="27"/>
  <c r="X107" i="27" s="1"/>
  <c r="Z107" i="27" s="1"/>
  <c r="V112" i="27"/>
  <c r="T165" i="30"/>
  <c r="J29" i="24"/>
  <c r="J33" i="24"/>
  <c r="J47" i="24"/>
  <c r="V49" i="24"/>
  <c r="V53" i="24"/>
  <c r="V57" i="24"/>
  <c r="J65" i="24"/>
  <c r="V69" i="24"/>
  <c r="V77" i="24"/>
  <c r="J81" i="24"/>
  <c r="J87" i="24"/>
  <c r="Z81" i="27"/>
  <c r="N160" i="30"/>
  <c r="J74" i="24"/>
  <c r="V82" i="24"/>
  <c r="J86" i="24"/>
  <c r="X81" i="27"/>
  <c r="V87" i="27"/>
  <c r="Z104" i="30"/>
  <c r="N154" i="30"/>
  <c r="N29" i="36"/>
  <c r="V39" i="24"/>
  <c r="V43" i="24"/>
  <c r="J51" i="24"/>
  <c r="J55" i="24"/>
  <c r="X58" i="24"/>
  <c r="Z58" i="24" s="1"/>
  <c r="J63" i="24"/>
  <c r="L64" i="24"/>
  <c r="N64" i="24" s="1"/>
  <c r="V67" i="24"/>
  <c r="J73" i="24"/>
  <c r="V75" i="24"/>
  <c r="X35" i="27"/>
  <c r="X87" i="27"/>
  <c r="Z87" i="27" s="1"/>
  <c r="F119" i="36"/>
  <c r="F118" i="36"/>
  <c r="F111" i="36"/>
  <c r="F91" i="36"/>
  <c r="F79" i="36"/>
  <c r="F78" i="36"/>
  <c r="F67" i="36"/>
  <c r="F66" i="36"/>
  <c r="F59" i="36"/>
  <c r="F58" i="36"/>
  <c r="F123" i="36"/>
  <c r="F121" i="36"/>
  <c r="F92" i="36"/>
  <c r="F60" i="36"/>
  <c r="F125" i="36"/>
  <c r="F82" i="36"/>
  <c r="F93" i="36"/>
  <c r="F89" i="36"/>
  <c r="F88" i="36"/>
  <c r="F73" i="36"/>
  <c r="F72" i="36"/>
  <c r="F116" i="36"/>
  <c r="F108" i="36"/>
  <c r="F104" i="36"/>
  <c r="F100" i="36"/>
  <c r="F129" i="36"/>
  <c r="F95" i="36"/>
  <c r="F94" i="36"/>
  <c r="F83" i="36"/>
  <c r="F75" i="36"/>
  <c r="F74" i="36"/>
  <c r="F63" i="36"/>
  <c r="F62" i="36"/>
  <c r="F55" i="36"/>
  <c r="F54" i="36"/>
  <c r="F110" i="36"/>
  <c r="F109" i="36"/>
  <c r="F90" i="36"/>
  <c r="F96" i="36"/>
  <c r="F84" i="36"/>
  <c r="F117" i="36"/>
  <c r="F103" i="36"/>
  <c r="F80" i="36"/>
  <c r="F71" i="36"/>
  <c r="F57" i="36"/>
  <c r="F50" i="36"/>
  <c r="F47" i="36"/>
  <c r="F39" i="36"/>
  <c r="F35" i="36"/>
  <c r="F31" i="36"/>
  <c r="F30" i="36"/>
  <c r="F124" i="36"/>
  <c r="F122" i="36"/>
  <c r="F112" i="36"/>
  <c r="F87" i="36"/>
  <c r="F53" i="36"/>
  <c r="F44" i="36"/>
  <c r="F29" i="36"/>
  <c r="F27" i="36"/>
  <c r="F105" i="36"/>
  <c r="F85" i="36"/>
  <c r="F68" i="36"/>
  <c r="D27" i="36"/>
  <c r="F107" i="36"/>
  <c r="F98" i="36"/>
  <c r="F76" i="36"/>
  <c r="F40" i="36"/>
  <c r="F36" i="36"/>
  <c r="F32" i="36"/>
  <c r="F48" i="36"/>
  <c r="F45" i="36"/>
  <c r="F23" i="36"/>
  <c r="F22" i="36"/>
  <c r="F81" i="36"/>
  <c r="F77" i="36"/>
  <c r="F51" i="36"/>
  <c r="F42" i="36"/>
  <c r="F41" i="36"/>
  <c r="F113" i="36"/>
  <c r="F102" i="36"/>
  <c r="F37" i="36"/>
  <c r="F33" i="36"/>
  <c r="F86" i="36"/>
  <c r="F69" i="36"/>
  <c r="F64" i="36"/>
  <c r="F46" i="36"/>
  <c r="F24" i="36"/>
  <c r="L12" i="36"/>
  <c r="N12" i="36" s="1"/>
  <c r="F49" i="36"/>
  <c r="F114" i="36"/>
  <c r="F106" i="36"/>
  <c r="F99" i="36"/>
  <c r="F65" i="36"/>
  <c r="F61" i="36"/>
  <c r="F52" i="36"/>
  <c r="F43" i="36"/>
  <c r="F38" i="36"/>
  <c r="F34" i="36"/>
  <c r="F97" i="36"/>
  <c r="F70" i="36"/>
  <c r="F56" i="36"/>
  <c r="F115" i="36"/>
  <c r="F101" i="36"/>
  <c r="J28" i="24"/>
  <c r="J32" i="24"/>
  <c r="T35" i="24"/>
  <c r="V48" i="24"/>
  <c r="V52" i="24"/>
  <c r="V56" i="24"/>
  <c r="J62" i="24"/>
  <c r="J72" i="24"/>
  <c r="V76" i="24"/>
  <c r="V88" i="24"/>
  <c r="V90" i="24"/>
  <c r="Z35" i="27"/>
  <c r="V66" i="27"/>
  <c r="Z83" i="27"/>
  <c r="V86" i="27"/>
  <c r="V90" i="27"/>
  <c r="V102" i="27"/>
  <c r="V110" i="27"/>
  <c r="J52" i="30"/>
  <c r="V54" i="30"/>
  <c r="V58" i="30"/>
  <c r="V62" i="30"/>
  <c r="V66" i="30"/>
  <c r="V70" i="30"/>
  <c r="V74" i="30"/>
  <c r="V76" i="30"/>
  <c r="V78" i="30"/>
  <c r="J82" i="30"/>
  <c r="J86" i="30"/>
  <c r="J100" i="30"/>
  <c r="N102" i="30"/>
  <c r="V106" i="30"/>
  <c r="Z108" i="30"/>
  <c r="J112" i="30"/>
  <c r="V114" i="30"/>
  <c r="J120" i="30"/>
  <c r="N122" i="30"/>
  <c r="V126" i="30"/>
  <c r="J130" i="30"/>
  <c r="V138" i="30"/>
  <c r="J142" i="30"/>
  <c r="J146" i="30"/>
  <c r="J152" i="30"/>
  <c r="J163" i="30"/>
  <c r="Z24" i="33"/>
  <c r="Z28" i="33"/>
  <c r="X29" i="33"/>
  <c r="Z29" i="33" s="1"/>
  <c r="V42" i="33"/>
  <c r="V46" i="33"/>
  <c r="N50" i="33"/>
  <c r="V54" i="33"/>
  <c r="Z56" i="33"/>
  <c r="V62" i="33"/>
  <c r="Z64" i="33"/>
  <c r="J72" i="33"/>
  <c r="N74" i="33"/>
  <c r="V78" i="33"/>
  <c r="L13" i="36"/>
  <c r="N13" i="36" s="1"/>
  <c r="V23" i="36"/>
  <c r="J27" i="36"/>
  <c r="J29" i="36"/>
  <c r="J31" i="36"/>
  <c r="J35" i="36"/>
  <c r="J39" i="36"/>
  <c r="V45" i="36"/>
  <c r="J47" i="36"/>
  <c r="V48" i="36"/>
  <c r="V58" i="36"/>
  <c r="J62" i="36"/>
  <c r="Z74" i="36"/>
  <c r="N78" i="36"/>
  <c r="N112" i="36"/>
  <c r="P12" i="39"/>
  <c r="F91" i="105"/>
  <c r="F90" i="105"/>
  <c r="F59" i="105"/>
  <c r="F58" i="105"/>
  <c r="F47" i="105"/>
  <c r="F43" i="105"/>
  <c r="F39" i="105"/>
  <c r="F74" i="105"/>
  <c r="F34" i="105"/>
  <c r="F30" i="105"/>
  <c r="F85" i="105"/>
  <c r="F81" i="105"/>
  <c r="F69" i="105"/>
  <c r="F61" i="105"/>
  <c r="F60" i="105"/>
  <c r="F49" i="105"/>
  <c r="F48" i="105"/>
  <c r="F21" i="105"/>
  <c r="F93" i="105"/>
  <c r="F76" i="105"/>
  <c r="F75" i="105"/>
  <c r="F44" i="105"/>
  <c r="F40" i="105"/>
  <c r="F97" i="105"/>
  <c r="F63" i="105"/>
  <c r="F62" i="105"/>
  <c r="F51" i="105"/>
  <c r="F50" i="105"/>
  <c r="F35" i="105"/>
  <c r="F31" i="105"/>
  <c r="F27" i="105"/>
  <c r="F26" i="105"/>
  <c r="F86" i="105"/>
  <c r="F82" i="105"/>
  <c r="F78" i="105"/>
  <c r="F77" i="105"/>
  <c r="F70" i="105"/>
  <c r="F25" i="105"/>
  <c r="F65" i="105"/>
  <c r="F64" i="105"/>
  <c r="F53" i="105"/>
  <c r="F52" i="105"/>
  <c r="F45" i="105"/>
  <c r="F41" i="105"/>
  <c r="D23" i="105"/>
  <c r="F88" i="105"/>
  <c r="F87" i="105"/>
  <c r="F72" i="105"/>
  <c r="F71" i="105"/>
  <c r="F36" i="105"/>
  <c r="F32" i="105"/>
  <c r="F28" i="105"/>
  <c r="L12" i="105"/>
  <c r="N12" i="105" s="1"/>
  <c r="F83" i="105"/>
  <c r="F79" i="105"/>
  <c r="F67" i="105"/>
  <c r="F66" i="105"/>
  <c r="F55" i="105"/>
  <c r="F54" i="105"/>
  <c r="F19" i="105"/>
  <c r="F18" i="105"/>
  <c r="F84" i="105"/>
  <c r="F80" i="105"/>
  <c r="F68" i="105"/>
  <c r="F20" i="105"/>
  <c r="F56" i="105"/>
  <c r="F46" i="105"/>
  <c r="F89" i="105"/>
  <c r="F38" i="105"/>
  <c r="F29" i="105"/>
  <c r="F73" i="105"/>
  <c r="F33" i="105"/>
  <c r="F57" i="105"/>
  <c r="F37" i="105"/>
  <c r="F42" i="105"/>
  <c r="N52" i="30"/>
  <c r="J56" i="30"/>
  <c r="J60" i="30"/>
  <c r="J64" i="30"/>
  <c r="J68" i="30"/>
  <c r="J72" i="30"/>
  <c r="V92" i="30"/>
  <c r="V96" i="30"/>
  <c r="V104" i="30"/>
  <c r="J110" i="30"/>
  <c r="J118" i="30"/>
  <c r="V124" i="30"/>
  <c r="J128" i="30"/>
  <c r="V136" i="30"/>
  <c r="J160" i="30"/>
  <c r="J161" i="30"/>
  <c r="V32" i="33"/>
  <c r="V36" i="33"/>
  <c r="J40" i="33"/>
  <c r="J44" i="33"/>
  <c r="J48" i="33"/>
  <c r="V52" i="33"/>
  <c r="J58" i="33"/>
  <c r="V60" i="33"/>
  <c r="J66" i="33"/>
  <c r="V68" i="33"/>
  <c r="J25" i="36"/>
  <c r="V41" i="36"/>
  <c r="V53" i="36"/>
  <c r="X54" i="36"/>
  <c r="V66" i="36"/>
  <c r="N70" i="36"/>
  <c r="V73" i="36"/>
  <c r="Z76" i="36"/>
  <c r="J82" i="36"/>
  <c r="V89" i="36"/>
  <c r="N97" i="36"/>
  <c r="V110" i="36"/>
  <c r="V124" i="36"/>
  <c r="Z30" i="39"/>
  <c r="N91" i="39"/>
  <c r="N93" i="39"/>
  <c r="Z65" i="42"/>
  <c r="V73" i="30"/>
  <c r="J81" i="30"/>
  <c r="J85" i="30"/>
  <c r="V101" i="30"/>
  <c r="J109" i="30"/>
  <c r="V113" i="30"/>
  <c r="J117" i="30"/>
  <c r="V121" i="30"/>
  <c r="V137" i="30"/>
  <c r="J141" i="30"/>
  <c r="J145" i="30"/>
  <c r="V153" i="30"/>
  <c r="H26" i="33"/>
  <c r="V45" i="33"/>
  <c r="V49" i="33"/>
  <c r="J57" i="33"/>
  <c r="V61" i="33"/>
  <c r="J65" i="33"/>
  <c r="V73" i="33"/>
  <c r="J112" i="36"/>
  <c r="J106" i="36"/>
  <c r="J102" i="36"/>
  <c r="J98" i="36"/>
  <c r="J86" i="36"/>
  <c r="J80" i="36"/>
  <c r="J68" i="36"/>
  <c r="J50" i="36"/>
  <c r="J46" i="36"/>
  <c r="J42" i="36"/>
  <c r="J124" i="36"/>
  <c r="J115" i="36"/>
  <c r="J107" i="36"/>
  <c r="J103" i="36"/>
  <c r="J99" i="36"/>
  <c r="J87" i="36"/>
  <c r="J71" i="36"/>
  <c r="J51" i="36"/>
  <c r="J127" i="36"/>
  <c r="J93" i="36"/>
  <c r="J89" i="36"/>
  <c r="J73" i="36"/>
  <c r="J116" i="36"/>
  <c r="J108" i="36"/>
  <c r="J104" i="36"/>
  <c r="J100" i="36"/>
  <c r="J94" i="36"/>
  <c r="J74" i="36"/>
  <c r="J129" i="36"/>
  <c r="J109" i="36"/>
  <c r="J95" i="36"/>
  <c r="J83" i="36"/>
  <c r="J75" i="36"/>
  <c r="J110" i="36"/>
  <c r="J90" i="36"/>
  <c r="J76" i="36"/>
  <c r="J64" i="36"/>
  <c r="J56" i="36"/>
  <c r="J134" i="36"/>
  <c r="J131" i="36"/>
  <c r="J117" i="36"/>
  <c r="J105" i="36"/>
  <c r="J101" i="36"/>
  <c r="J77" i="36"/>
  <c r="J65" i="36"/>
  <c r="J57" i="36"/>
  <c r="J119" i="36"/>
  <c r="J111" i="36"/>
  <c r="J97" i="36"/>
  <c r="J91" i="36"/>
  <c r="J85" i="36"/>
  <c r="J79" i="36"/>
  <c r="J67" i="36"/>
  <c r="J59" i="36"/>
  <c r="V22" i="36"/>
  <c r="J34" i="36"/>
  <c r="J38" i="36"/>
  <c r="J43" i="36"/>
  <c r="V44" i="36"/>
  <c r="V47" i="36"/>
  <c r="V57" i="36"/>
  <c r="J61" i="36"/>
  <c r="J70" i="36"/>
  <c r="V76" i="36"/>
  <c r="J92" i="36"/>
  <c r="V108" i="36"/>
  <c r="V120" i="39"/>
  <c r="V88" i="39"/>
  <c r="V76" i="39"/>
  <c r="V40" i="39"/>
  <c r="V36" i="39"/>
  <c r="V32" i="39"/>
  <c r="V121" i="39"/>
  <c r="V111" i="39"/>
  <c r="V103" i="39"/>
  <c r="V99" i="39"/>
  <c r="V95" i="39"/>
  <c r="V83" i="39"/>
  <c r="V67" i="39"/>
  <c r="V59" i="39"/>
  <c r="V78" i="39"/>
  <c r="V50" i="39"/>
  <c r="V46" i="39"/>
  <c r="V42" i="39"/>
  <c r="V105" i="39"/>
  <c r="V89" i="39"/>
  <c r="V85" i="39"/>
  <c r="V69" i="39"/>
  <c r="V37" i="39"/>
  <c r="V33" i="39"/>
  <c r="V112" i="39"/>
  <c r="V104" i="39"/>
  <c r="V100" i="39"/>
  <c r="V96" i="39"/>
  <c r="V84" i="39"/>
  <c r="V68" i="39"/>
  <c r="V60" i="39"/>
  <c r="V52" i="39"/>
  <c r="V24" i="39"/>
  <c r="V125" i="39"/>
  <c r="V91" i="39"/>
  <c r="V79" i="39"/>
  <c r="V71" i="39"/>
  <c r="V51" i="39"/>
  <c r="V47" i="39"/>
  <c r="V43" i="39"/>
  <c r="V114" i="39"/>
  <c r="V106" i="39"/>
  <c r="V90" i="39"/>
  <c r="V86" i="39"/>
  <c r="V70" i="39"/>
  <c r="V62" i="39"/>
  <c r="V54" i="39"/>
  <c r="V38" i="39"/>
  <c r="V34" i="39"/>
  <c r="V113" i="39"/>
  <c r="V101" i="39"/>
  <c r="V97" i="39"/>
  <c r="V93" i="39"/>
  <c r="V73" i="39"/>
  <c r="V61" i="39"/>
  <c r="V53" i="39"/>
  <c r="V25" i="39"/>
  <c r="V108" i="39"/>
  <c r="V92" i="39"/>
  <c r="V80" i="39"/>
  <c r="V72" i="39"/>
  <c r="V64" i="39"/>
  <c r="V56" i="39"/>
  <c r="V48" i="39"/>
  <c r="V44" i="39"/>
  <c r="V117" i="39"/>
  <c r="V115" i="39"/>
  <c r="V107" i="39"/>
  <c r="V87" i="39"/>
  <c r="V75" i="39"/>
  <c r="V63" i="39"/>
  <c r="V55" i="39"/>
  <c r="V39" i="39"/>
  <c r="V35" i="39"/>
  <c r="V31" i="39"/>
  <c r="V119" i="39"/>
  <c r="V109" i="39"/>
  <c r="V81" i="39"/>
  <c r="V77" i="39"/>
  <c r="V65" i="39"/>
  <c r="V57" i="39"/>
  <c r="V49" i="39"/>
  <c r="V45" i="39"/>
  <c r="V41" i="39"/>
  <c r="T28" i="39"/>
  <c r="V26" i="39"/>
  <c r="V30" i="39"/>
  <c r="V82" i="30"/>
  <c r="V86" i="30"/>
  <c r="J90" i="30"/>
  <c r="J94" i="30"/>
  <c r="J98" i="30"/>
  <c r="V102" i="30"/>
  <c r="J108" i="30"/>
  <c r="V122" i="30"/>
  <c r="V130" i="30"/>
  <c r="J134" i="30"/>
  <c r="J140" i="30"/>
  <c r="V142" i="30"/>
  <c r="V146" i="30"/>
  <c r="J150" i="30"/>
  <c r="V154" i="30"/>
  <c r="J158" i="30"/>
  <c r="J26" i="33"/>
  <c r="J28" i="33"/>
  <c r="J30" i="33"/>
  <c r="J34" i="33"/>
  <c r="J38" i="33"/>
  <c r="V50" i="33"/>
  <c r="J56" i="33"/>
  <c r="J64" i="33"/>
  <c r="J70" i="33"/>
  <c r="V74" i="33"/>
  <c r="D77" i="33"/>
  <c r="L77" i="33" s="1"/>
  <c r="J82" i="33"/>
  <c r="V31" i="36"/>
  <c r="V35" i="36"/>
  <c r="V39" i="36"/>
  <c r="J49" i="36"/>
  <c r="J52" i="36"/>
  <c r="V78" i="36"/>
  <c r="J114" i="36"/>
  <c r="N121" i="36"/>
  <c r="J123" i="36"/>
  <c r="Z75" i="39"/>
  <c r="Z110" i="39"/>
  <c r="V118" i="39"/>
  <c r="V91" i="30"/>
  <c r="V95" i="30"/>
  <c r="V99" i="30"/>
  <c r="J107" i="30"/>
  <c r="V111" i="30"/>
  <c r="V119" i="30"/>
  <c r="J127" i="30"/>
  <c r="J133" i="30"/>
  <c r="V135" i="30"/>
  <c r="J139" i="30"/>
  <c r="J149" i="30"/>
  <c r="V151" i="30"/>
  <c r="J157" i="30"/>
  <c r="V163" i="30"/>
  <c r="V165" i="30"/>
  <c r="V67" i="33"/>
  <c r="V71" i="33"/>
  <c r="J24" i="36"/>
  <c r="T27" i="36"/>
  <c r="J55" i="36"/>
  <c r="V59" i="36"/>
  <c r="J69" i="36"/>
  <c r="V92" i="36"/>
  <c r="Z97" i="36"/>
  <c r="J121" i="36"/>
  <c r="J125" i="36"/>
  <c r="D12" i="39"/>
  <c r="Z82" i="39"/>
  <c r="V102" i="39"/>
  <c r="L105" i="39"/>
  <c r="N105" i="39" s="1"/>
  <c r="V110" i="39"/>
  <c r="N51" i="42"/>
  <c r="V162" i="30"/>
  <c r="P121" i="36"/>
  <c r="X121" i="36" s="1"/>
  <c r="Z121" i="36" s="1"/>
  <c r="H127" i="39"/>
  <c r="N31" i="39"/>
  <c r="N58" i="45"/>
  <c r="X52" i="30"/>
  <c r="Z52" i="30" s="1"/>
  <c r="L78" i="30"/>
  <c r="N78" i="30" s="1"/>
  <c r="V109" i="30"/>
  <c r="J115" i="30"/>
  <c r="V117" i="30"/>
  <c r="J125" i="30"/>
  <c r="V129" i="30"/>
  <c r="V141" i="30"/>
  <c r="V145" i="30"/>
  <c r="V161" i="30"/>
  <c r="D12" i="33"/>
  <c r="J77" i="33"/>
  <c r="V94" i="36"/>
  <c r="V82" i="36"/>
  <c r="V74" i="36"/>
  <c r="V62" i="36"/>
  <c r="V54" i="36"/>
  <c r="V129" i="36"/>
  <c r="V95" i="36"/>
  <c r="V83" i="36"/>
  <c r="V75" i="36"/>
  <c r="V63" i="36"/>
  <c r="V55" i="36"/>
  <c r="V117" i="36"/>
  <c r="V105" i="36"/>
  <c r="V101" i="36"/>
  <c r="V97" i="36"/>
  <c r="V85" i="36"/>
  <c r="V77" i="36"/>
  <c r="V65" i="36"/>
  <c r="V112" i="36"/>
  <c r="V96" i="36"/>
  <c r="V84" i="36"/>
  <c r="V80" i="36"/>
  <c r="V68" i="36"/>
  <c r="V121" i="36"/>
  <c r="V119" i="36"/>
  <c r="V111" i="36"/>
  <c r="V91" i="36"/>
  <c r="V79" i="36"/>
  <c r="V67" i="36"/>
  <c r="V122" i="36"/>
  <c r="V114" i="36"/>
  <c r="V106" i="36"/>
  <c r="V102" i="36"/>
  <c r="V98" i="36"/>
  <c r="V86" i="36"/>
  <c r="V70" i="36"/>
  <c r="V50" i="36"/>
  <c r="V46" i="36"/>
  <c r="V123" i="36"/>
  <c r="V113" i="36"/>
  <c r="V81" i="36"/>
  <c r="V69" i="36"/>
  <c r="V125" i="36"/>
  <c r="V115" i="36"/>
  <c r="V107" i="36"/>
  <c r="V103" i="36"/>
  <c r="V99" i="36"/>
  <c r="V87" i="36"/>
  <c r="V71" i="36"/>
  <c r="V30" i="36"/>
  <c r="V34" i="36"/>
  <c r="V38" i="36"/>
  <c r="Z52" i="36"/>
  <c r="N58" i="36"/>
  <c r="J81" i="36"/>
  <c r="V116" i="36"/>
  <c r="J118" i="36"/>
  <c r="N85" i="39"/>
  <c r="N28" i="42"/>
  <c r="J54" i="30"/>
  <c r="J58" i="30"/>
  <c r="J62" i="30"/>
  <c r="J66" i="30"/>
  <c r="J70" i="30"/>
  <c r="J74" i="30"/>
  <c r="V90" i="30"/>
  <c r="V94" i="30"/>
  <c r="V98" i="30"/>
  <c r="J104" i="30"/>
  <c r="V110" i="30"/>
  <c r="J114" i="30"/>
  <c r="V118" i="30"/>
  <c r="J124" i="30"/>
  <c r="V134" i="30"/>
  <c r="J138" i="30"/>
  <c r="V150" i="30"/>
  <c r="V158" i="30"/>
  <c r="V160" i="30"/>
  <c r="X13" i="33"/>
  <c r="Z13" i="33" s="1"/>
  <c r="V30" i="33"/>
  <c r="V34" i="33"/>
  <c r="V38" i="33"/>
  <c r="J42" i="33"/>
  <c r="J46" i="33"/>
  <c r="J52" i="33"/>
  <c r="V58" i="33"/>
  <c r="V66" i="33"/>
  <c r="V70" i="33"/>
  <c r="V82" i="33"/>
  <c r="J23" i="36"/>
  <c r="J41" i="36"/>
  <c r="J45" i="36"/>
  <c r="J48" i="36"/>
  <c r="V49" i="36"/>
  <c r="V52" i="36"/>
  <c r="J54" i="36"/>
  <c r="V56" i="36"/>
  <c r="J58" i="36"/>
  <c r="J63" i="36"/>
  <c r="V90" i="36"/>
  <c r="X109" i="36"/>
  <c r="Z109" i="36" s="1"/>
  <c r="Z31" i="39"/>
  <c r="V94" i="39"/>
  <c r="X117" i="39"/>
  <c r="N71" i="42"/>
  <c r="J155" i="30"/>
  <c r="J167" i="30"/>
  <c r="T26" i="33"/>
  <c r="J32" i="36"/>
  <c r="J36" i="36"/>
  <c r="J40" i="36"/>
  <c r="V51" i="36"/>
  <c r="X58" i="36"/>
  <c r="Z58" i="36" s="1"/>
  <c r="J60" i="36"/>
  <c r="V100" i="36"/>
  <c r="V132" i="30"/>
  <c r="J136" i="30"/>
  <c r="V140" i="30"/>
  <c r="V144" i="30"/>
  <c r="V148" i="30"/>
  <c r="J154" i="30"/>
  <c r="V156" i="30"/>
  <c r="V88" i="36"/>
  <c r="V109" i="36"/>
  <c r="V118" i="36"/>
  <c r="Z117" i="39"/>
  <c r="J101" i="30"/>
  <c r="V105" i="30"/>
  <c r="J113" i="30"/>
  <c r="J121" i="30"/>
  <c r="V125" i="30"/>
  <c r="V133" i="30"/>
  <c r="V149" i="30"/>
  <c r="J153" i="30"/>
  <c r="J44" i="36"/>
  <c r="J53" i="36"/>
  <c r="V60" i="36"/>
  <c r="V64" i="36"/>
  <c r="N68" i="36"/>
  <c r="V93" i="36"/>
  <c r="J122" i="36"/>
  <c r="L13" i="39"/>
  <c r="N13" i="39" s="1"/>
  <c r="J53" i="39"/>
  <c r="J61" i="39"/>
  <c r="J71" i="39"/>
  <c r="J91" i="39"/>
  <c r="J97" i="39"/>
  <c r="J101" i="39"/>
  <c r="J113" i="39"/>
  <c r="J114" i="42"/>
  <c r="J113" i="42"/>
  <c r="J105" i="42"/>
  <c r="J77" i="42"/>
  <c r="J71" i="42"/>
  <c r="J59" i="42"/>
  <c r="J51" i="42"/>
  <c r="J45" i="42"/>
  <c r="J41" i="42"/>
  <c r="J115" i="42"/>
  <c r="J106" i="42"/>
  <c r="J84" i="42"/>
  <c r="J116" i="42"/>
  <c r="J107" i="42"/>
  <c r="J99" i="42"/>
  <c r="J95" i="42"/>
  <c r="J91" i="42"/>
  <c r="J79" i="42"/>
  <c r="J117" i="42"/>
  <c r="J74" i="42"/>
  <c r="J62" i="42"/>
  <c r="J54" i="42"/>
  <c r="J46" i="42"/>
  <c r="J42" i="42"/>
  <c r="J28" i="42"/>
  <c r="J108" i="42"/>
  <c r="J100" i="42"/>
  <c r="J96" i="42"/>
  <c r="J92" i="42"/>
  <c r="J80" i="42"/>
  <c r="J64" i="42"/>
  <c r="J56" i="42"/>
  <c r="J121" i="42"/>
  <c r="J102" i="42"/>
  <c r="J86" i="42"/>
  <c r="J82" i="42"/>
  <c r="J109" i="42"/>
  <c r="J97" i="42"/>
  <c r="J93" i="42"/>
  <c r="J87" i="42"/>
  <c r="J67" i="42"/>
  <c r="J57" i="42"/>
  <c r="J21" i="42"/>
  <c r="J110" i="42"/>
  <c r="J88" i="42"/>
  <c r="J76" i="42"/>
  <c r="J68" i="42"/>
  <c r="J48" i="42"/>
  <c r="J44" i="42"/>
  <c r="J40" i="42"/>
  <c r="J104" i="42"/>
  <c r="J98" i="42"/>
  <c r="J94" i="42"/>
  <c r="J90" i="42"/>
  <c r="J70" i="42"/>
  <c r="J58" i="42"/>
  <c r="J50" i="42"/>
  <c r="N27" i="42"/>
  <c r="V47" i="42"/>
  <c r="N49" i="42"/>
  <c r="L51" i="42"/>
  <c r="J69" i="42"/>
  <c r="V75" i="42"/>
  <c r="V89" i="42"/>
  <c r="R25" i="45"/>
  <c r="L58" i="45"/>
  <c r="Z68" i="45"/>
  <c r="J43" i="39"/>
  <c r="J47" i="39"/>
  <c r="J51" i="39"/>
  <c r="J69" i="39"/>
  <c r="J79" i="39"/>
  <c r="J85" i="39"/>
  <c r="J105" i="39"/>
  <c r="J125" i="39"/>
  <c r="V101" i="42"/>
  <c r="V85" i="42"/>
  <c r="V81" i="42"/>
  <c r="V65" i="42"/>
  <c r="V37" i="42"/>
  <c r="V33" i="42"/>
  <c r="V29" i="42"/>
  <c r="V108" i="42"/>
  <c r="V100" i="42"/>
  <c r="V96" i="42"/>
  <c r="V92" i="42"/>
  <c r="V121" i="42"/>
  <c r="V87" i="42"/>
  <c r="V110" i="42"/>
  <c r="V102" i="42"/>
  <c r="V86" i="42"/>
  <c r="V82" i="42"/>
  <c r="V66" i="42"/>
  <c r="V34" i="42"/>
  <c r="V30" i="42"/>
  <c r="V109" i="42"/>
  <c r="V97" i="42"/>
  <c r="V93" i="42"/>
  <c r="V104" i="42"/>
  <c r="V88" i="42"/>
  <c r="V76" i="42"/>
  <c r="V68" i="42"/>
  <c r="V48" i="42"/>
  <c r="V44" i="42"/>
  <c r="V113" i="42"/>
  <c r="V111" i="42"/>
  <c r="V103" i="42"/>
  <c r="V114" i="42"/>
  <c r="V106" i="42"/>
  <c r="V98" i="42"/>
  <c r="V94" i="42"/>
  <c r="V90" i="42"/>
  <c r="V115" i="42"/>
  <c r="V105" i="42"/>
  <c r="V77" i="42"/>
  <c r="V73" i="42"/>
  <c r="V61" i="42"/>
  <c r="V53" i="42"/>
  <c r="V45" i="42"/>
  <c r="V41" i="42"/>
  <c r="V116" i="42"/>
  <c r="V84" i="42"/>
  <c r="V72" i="42"/>
  <c r="V60" i="42"/>
  <c r="V52" i="42"/>
  <c r="V36" i="42"/>
  <c r="V32" i="42"/>
  <c r="V28" i="42"/>
  <c r="V74" i="42"/>
  <c r="V62" i="42"/>
  <c r="V54" i="42"/>
  <c r="V46" i="42"/>
  <c r="V42" i="42"/>
  <c r="V38" i="42"/>
  <c r="T25" i="42"/>
  <c r="V22" i="42"/>
  <c r="Z27" i="42"/>
  <c r="Z55" i="42"/>
  <c r="J85" i="42"/>
  <c r="X115" i="42"/>
  <c r="Z115" i="42" s="1"/>
  <c r="P113" i="42"/>
  <c r="X113" i="42" s="1"/>
  <c r="Z113" i="42" s="1"/>
  <c r="V117" i="42"/>
  <c r="Z64" i="45"/>
  <c r="Z78" i="45"/>
  <c r="X78" i="45"/>
  <c r="J24" i="39"/>
  <c r="J60" i="39"/>
  <c r="J68" i="39"/>
  <c r="J84" i="39"/>
  <c r="J96" i="39"/>
  <c r="J100" i="39"/>
  <c r="J104" i="39"/>
  <c r="J112" i="39"/>
  <c r="H25" i="42"/>
  <c r="V27" i="42"/>
  <c r="J29" i="42"/>
  <c r="J34" i="42"/>
  <c r="Z38" i="42"/>
  <c r="V55" i="42"/>
  <c r="V57" i="42"/>
  <c r="V63" i="42"/>
  <c r="J65" i="42"/>
  <c r="V79" i="42"/>
  <c r="J83" i="42"/>
  <c r="N52" i="45"/>
  <c r="Z56" i="45"/>
  <c r="J33" i="39"/>
  <c r="J37" i="39"/>
  <c r="J89" i="39"/>
  <c r="J123" i="39"/>
  <c r="J25" i="42"/>
  <c r="N65" i="42"/>
  <c r="V69" i="42"/>
  <c r="J81" i="42"/>
  <c r="J103" i="42"/>
  <c r="V107" i="42"/>
  <c r="N48" i="45"/>
  <c r="X52" i="45"/>
  <c r="Z52" i="45" s="1"/>
  <c r="Z54" i="45"/>
  <c r="J50" i="39"/>
  <c r="J78" i="39"/>
  <c r="J121" i="39"/>
  <c r="V59" i="42"/>
  <c r="X65" i="42"/>
  <c r="V71" i="42"/>
  <c r="V83" i="42"/>
  <c r="J41" i="39"/>
  <c r="J59" i="39"/>
  <c r="J67" i="39"/>
  <c r="J77" i="39"/>
  <c r="J83" i="39"/>
  <c r="J95" i="39"/>
  <c r="J99" i="39"/>
  <c r="J103" i="39"/>
  <c r="J111" i="39"/>
  <c r="J120" i="39"/>
  <c r="D12" i="42"/>
  <c r="J23" i="42"/>
  <c r="J36" i="42"/>
  <c r="V51" i="42"/>
  <c r="Z59" i="42"/>
  <c r="Z71" i="42"/>
  <c r="J73" i="42"/>
  <c r="J78" i="42"/>
  <c r="L110" i="42"/>
  <c r="R23" i="45"/>
  <c r="N26" i="45"/>
  <c r="N110" i="42"/>
  <c r="V65" i="48"/>
  <c r="V49" i="48"/>
  <c r="V64" i="48"/>
  <c r="V59" i="48"/>
  <c r="V51" i="48"/>
  <c r="V68" i="48"/>
  <c r="V66" i="48"/>
  <c r="V50" i="48"/>
  <c r="V42" i="48"/>
  <c r="V69" i="48"/>
  <c r="V60" i="48"/>
  <c r="V52" i="48"/>
  <c r="V44" i="48"/>
  <c r="V28" i="48"/>
  <c r="V24" i="48"/>
  <c r="V20" i="48"/>
  <c r="V55" i="48"/>
  <c r="V43" i="48"/>
  <c r="V19" i="48"/>
  <c r="V15" i="48"/>
  <c r="V73" i="48"/>
  <c r="V61" i="48"/>
  <c r="V57" i="48"/>
  <c r="V45" i="48"/>
  <c r="V58" i="48"/>
  <c r="V30" i="48"/>
  <c r="V26" i="48"/>
  <c r="V22" i="48"/>
  <c r="V54" i="48"/>
  <c r="V35" i="48"/>
  <c r="V33" i="48"/>
  <c r="V21" i="48"/>
  <c r="V47" i="48"/>
  <c r="V62" i="48"/>
  <c r="T17" i="48"/>
  <c r="V17" i="48" s="1"/>
  <c r="V29" i="48"/>
  <c r="V53" i="48"/>
  <c r="V38" i="48"/>
  <c r="V48" i="48"/>
  <c r="V46" i="48"/>
  <c r="V40" i="48"/>
  <c r="V36" i="48"/>
  <c r="V34" i="48"/>
  <c r="V32" i="48"/>
  <c r="V27" i="48"/>
  <c r="V25" i="48"/>
  <c r="V56" i="48"/>
  <c r="V39" i="48"/>
  <c r="V31" i="48"/>
  <c r="X20" i="48"/>
  <c r="R20" i="48"/>
  <c r="V89" i="51"/>
  <c r="V102" i="51"/>
  <c r="V90" i="51"/>
  <c r="V92" i="51"/>
  <c r="V87" i="51"/>
  <c r="V96" i="51"/>
  <c r="V94" i="51"/>
  <c r="V98" i="51"/>
  <c r="V83" i="51"/>
  <c r="V71" i="51"/>
  <c r="V47" i="51"/>
  <c r="V45" i="51"/>
  <c r="V43" i="51"/>
  <c r="V39" i="51"/>
  <c r="V35" i="51"/>
  <c r="V82" i="51"/>
  <c r="V74" i="51"/>
  <c r="V66" i="51"/>
  <c r="V62" i="51"/>
  <c r="T45" i="51"/>
  <c r="V93" i="51"/>
  <c r="V73" i="51"/>
  <c r="V57" i="51"/>
  <c r="V53" i="51"/>
  <c r="V49" i="51"/>
  <c r="V76" i="51"/>
  <c r="V40" i="51"/>
  <c r="V36" i="51"/>
  <c r="V32" i="51"/>
  <c r="V91" i="51"/>
  <c r="V88" i="51"/>
  <c r="V85" i="51"/>
  <c r="V84" i="51"/>
  <c r="V75" i="51"/>
  <c r="V67" i="51"/>
  <c r="V63" i="51"/>
  <c r="V59" i="51"/>
  <c r="V78" i="51"/>
  <c r="V58" i="51"/>
  <c r="V54" i="51"/>
  <c r="V50" i="51"/>
  <c r="V77" i="51"/>
  <c r="V41" i="51"/>
  <c r="V37" i="51"/>
  <c r="V33" i="51"/>
  <c r="V97" i="51"/>
  <c r="V68" i="51"/>
  <c r="V64" i="51"/>
  <c r="V60" i="51"/>
  <c r="Z12" i="51"/>
  <c r="V86" i="51"/>
  <c r="V79" i="51"/>
  <c r="V55" i="51"/>
  <c r="V51" i="51"/>
  <c r="V80" i="51"/>
  <c r="V72" i="51"/>
  <c r="V56" i="51"/>
  <c r="V52" i="51"/>
  <c r="V48" i="51"/>
  <c r="V69" i="51"/>
  <c r="V81" i="51"/>
  <c r="V70" i="51"/>
  <c r="V61" i="51"/>
  <c r="V34" i="51"/>
  <c r="V65" i="51"/>
  <c r="V38" i="51"/>
  <c r="N76" i="51"/>
  <c r="L76" i="51"/>
  <c r="J76" i="51"/>
  <c r="J31" i="39"/>
  <c r="J45" i="39"/>
  <c r="J49" i="39"/>
  <c r="J57" i="39"/>
  <c r="J65" i="39"/>
  <c r="J75" i="39"/>
  <c r="J81" i="39"/>
  <c r="J109" i="39"/>
  <c r="J117" i="39"/>
  <c r="J118" i="39"/>
  <c r="J20" i="42"/>
  <c r="L27" i="42"/>
  <c r="V31" i="42"/>
  <c r="J33" i="42"/>
  <c r="J43" i="42"/>
  <c r="V58" i="42"/>
  <c r="V70" i="42"/>
  <c r="J89" i="42"/>
  <c r="J101" i="42"/>
  <c r="N18" i="45"/>
  <c r="L31" i="39"/>
  <c r="X69" i="39"/>
  <c r="Z69" i="39" s="1"/>
  <c r="L75" i="39"/>
  <c r="N75" i="39" s="1"/>
  <c r="X85" i="39"/>
  <c r="Z85" i="39" s="1"/>
  <c r="J94" i="39"/>
  <c r="J98" i="39"/>
  <c r="J102" i="39"/>
  <c r="J108" i="39"/>
  <c r="P12" i="42"/>
  <c r="V99" i="42"/>
  <c r="N38" i="42"/>
  <c r="J19" i="48"/>
  <c r="V41" i="48"/>
  <c r="J44" i="39"/>
  <c r="J48" i="39"/>
  <c r="J54" i="39"/>
  <c r="J62" i="39"/>
  <c r="J72" i="39"/>
  <c r="J80" i="39"/>
  <c r="J92" i="39"/>
  <c r="J38" i="42"/>
  <c r="J55" i="42"/>
  <c r="L59" i="42"/>
  <c r="J63" i="42"/>
  <c r="N69" i="42"/>
  <c r="L71" i="42"/>
  <c r="J111" i="42"/>
  <c r="R94" i="45"/>
  <c r="R93" i="45"/>
  <c r="R78" i="45"/>
  <c r="R77" i="45"/>
  <c r="R75" i="45"/>
  <c r="R71" i="45"/>
  <c r="R90" i="45"/>
  <c r="R83" i="45"/>
  <c r="R66" i="45"/>
  <c r="R65" i="45"/>
  <c r="R54" i="45"/>
  <c r="R53" i="45"/>
  <c r="R45" i="45"/>
  <c r="R41" i="45"/>
  <c r="R18" i="45"/>
  <c r="R91" i="45"/>
  <c r="R79" i="45"/>
  <c r="R37" i="45"/>
  <c r="R36" i="45"/>
  <c r="R32" i="45"/>
  <c r="R28" i="45"/>
  <c r="X12" i="45"/>
  <c r="Z12" i="45" s="1"/>
  <c r="R95" i="45"/>
  <c r="R87" i="45"/>
  <c r="R80" i="45"/>
  <c r="R72" i="45"/>
  <c r="R68" i="45"/>
  <c r="R67" i="45"/>
  <c r="R56" i="45"/>
  <c r="R55" i="45"/>
  <c r="R19" i="45"/>
  <c r="R96" i="45"/>
  <c r="R84" i="45"/>
  <c r="R76" i="45"/>
  <c r="R73" i="45"/>
  <c r="R46" i="45"/>
  <c r="R42" i="45"/>
  <c r="R38" i="45"/>
  <c r="R103" i="45"/>
  <c r="R92" i="45"/>
  <c r="R69" i="45"/>
  <c r="R58" i="45"/>
  <c r="R57" i="45"/>
  <c r="R33" i="45"/>
  <c r="R29" i="45"/>
  <c r="R88" i="45"/>
  <c r="R81" i="45"/>
  <c r="R20" i="45"/>
  <c r="R74" i="45"/>
  <c r="R60" i="45"/>
  <c r="R59" i="45"/>
  <c r="R48" i="45"/>
  <c r="R47" i="45"/>
  <c r="R43" i="45"/>
  <c r="R39" i="45"/>
  <c r="R97" i="45"/>
  <c r="R85" i="45"/>
  <c r="R70" i="45"/>
  <c r="R34" i="45"/>
  <c r="R30" i="45"/>
  <c r="R82" i="45"/>
  <c r="R62" i="45"/>
  <c r="R61" i="45"/>
  <c r="R50" i="45"/>
  <c r="R49" i="45"/>
  <c r="R26" i="45"/>
  <c r="R21" i="45"/>
  <c r="R86" i="45"/>
  <c r="R64" i="45"/>
  <c r="R63" i="45"/>
  <c r="R52" i="45"/>
  <c r="R51" i="45"/>
  <c r="R35" i="45"/>
  <c r="R31" i="45"/>
  <c r="R27" i="45"/>
  <c r="P23" i="45"/>
  <c r="R89" i="51"/>
  <c r="R93" i="51"/>
  <c r="R92" i="51"/>
  <c r="R87" i="51"/>
  <c r="R81" i="51"/>
  <c r="R80" i="51"/>
  <c r="R56" i="51"/>
  <c r="R52" i="51"/>
  <c r="R98" i="51"/>
  <c r="R72" i="51"/>
  <c r="R71" i="51"/>
  <c r="R48" i="51"/>
  <c r="R43" i="51"/>
  <c r="R39" i="51"/>
  <c r="R35" i="51"/>
  <c r="R90" i="51"/>
  <c r="R83" i="51"/>
  <c r="R82" i="51"/>
  <c r="R66" i="51"/>
  <c r="R62" i="51"/>
  <c r="R47" i="51"/>
  <c r="R96" i="51"/>
  <c r="R74" i="51"/>
  <c r="R73" i="51"/>
  <c r="R57" i="51"/>
  <c r="R53" i="51"/>
  <c r="R49" i="51"/>
  <c r="P45" i="51"/>
  <c r="R102" i="51"/>
  <c r="R40" i="51"/>
  <c r="R36" i="51"/>
  <c r="R88" i="51"/>
  <c r="R84" i="51"/>
  <c r="R76" i="51"/>
  <c r="R75" i="51"/>
  <c r="R67" i="51"/>
  <c r="R63" i="51"/>
  <c r="R32" i="51"/>
  <c r="R91" i="51"/>
  <c r="R85" i="51"/>
  <c r="R59" i="51"/>
  <c r="R58" i="51"/>
  <c r="R54" i="51"/>
  <c r="R50" i="51"/>
  <c r="R78" i="51"/>
  <c r="R77" i="51"/>
  <c r="R41" i="51"/>
  <c r="R37" i="51"/>
  <c r="R33" i="51"/>
  <c r="R97" i="51"/>
  <c r="R68" i="51"/>
  <c r="R64" i="51"/>
  <c r="R60" i="51"/>
  <c r="X12" i="51"/>
  <c r="R70" i="51"/>
  <c r="R69" i="51"/>
  <c r="R65" i="51"/>
  <c r="R61" i="51"/>
  <c r="R86" i="51"/>
  <c r="R55" i="51"/>
  <c r="R79" i="51"/>
  <c r="R94" i="51"/>
  <c r="R34" i="51"/>
  <c r="R42" i="51"/>
  <c r="V42" i="51"/>
  <c r="X97" i="51"/>
  <c r="P96" i="51"/>
  <c r="X96" i="51" s="1"/>
  <c r="L114" i="42"/>
  <c r="N114" i="42" s="1"/>
  <c r="V18" i="45"/>
  <c r="J30" i="45"/>
  <c r="J34" i="45"/>
  <c r="J48" i="45"/>
  <c r="V54" i="45"/>
  <c r="J60" i="45"/>
  <c r="V66" i="45"/>
  <c r="J70" i="45"/>
  <c r="V71" i="45"/>
  <c r="V75" i="45"/>
  <c r="J77" i="45"/>
  <c r="J85" i="45"/>
  <c r="R58" i="48"/>
  <c r="R31" i="48"/>
  <c r="R30" i="48"/>
  <c r="R26" i="48"/>
  <c r="R22" i="48"/>
  <c r="X12" i="48"/>
  <c r="Z12" i="48" s="1"/>
  <c r="R65" i="48"/>
  <c r="R64" i="48"/>
  <c r="R40" i="48"/>
  <c r="R59" i="48"/>
  <c r="R27" i="48"/>
  <c r="R23" i="48"/>
  <c r="R66" i="48"/>
  <c r="R69" i="48"/>
  <c r="R68" i="48"/>
  <c r="R42" i="48"/>
  <c r="R41" i="48"/>
  <c r="R37" i="48"/>
  <c r="R33" i="48"/>
  <c r="R60" i="48"/>
  <c r="R53" i="48"/>
  <c r="R52" i="48"/>
  <c r="R28" i="48"/>
  <c r="R24" i="48"/>
  <c r="R55" i="48"/>
  <c r="R54" i="48"/>
  <c r="R38" i="48"/>
  <c r="R34" i="48"/>
  <c r="R63" i="48"/>
  <c r="R48" i="48"/>
  <c r="R47" i="48"/>
  <c r="R39" i="48"/>
  <c r="R35" i="48"/>
  <c r="X15" i="48"/>
  <c r="F19" i="48"/>
  <c r="R49" i="48"/>
  <c r="N51" i="48"/>
  <c r="J51" i="48"/>
  <c r="N47" i="51"/>
  <c r="L91" i="51"/>
  <c r="N91" i="51" s="1"/>
  <c r="T76" i="58"/>
  <c r="Z16" i="58"/>
  <c r="X19" i="58"/>
  <c r="Z19" i="58" s="1"/>
  <c r="J20" i="45"/>
  <c r="T23" i="45"/>
  <c r="V40" i="45"/>
  <c r="V44" i="45"/>
  <c r="V52" i="45"/>
  <c r="J58" i="45"/>
  <c r="V64" i="45"/>
  <c r="V78" i="45"/>
  <c r="J81" i="45"/>
  <c r="J88" i="45"/>
  <c r="V89" i="45"/>
  <c r="V93" i="45"/>
  <c r="F22" i="48"/>
  <c r="L48" i="48"/>
  <c r="J48" i="48"/>
  <c r="F58" i="48"/>
  <c r="N32" i="51"/>
  <c r="L32" i="51"/>
  <c r="L55" i="56"/>
  <c r="N55" i="56" s="1"/>
  <c r="D12" i="45"/>
  <c r="V21" i="45"/>
  <c r="V23" i="45"/>
  <c r="V25" i="45"/>
  <c r="J29" i="45"/>
  <c r="J33" i="45"/>
  <c r="V49" i="45"/>
  <c r="J57" i="45"/>
  <c r="V61" i="45"/>
  <c r="J69" i="45"/>
  <c r="J73" i="45"/>
  <c r="V77" i="45"/>
  <c r="V99" i="45"/>
  <c r="F54" i="48"/>
  <c r="F53" i="48"/>
  <c r="F38" i="48"/>
  <c r="F34" i="48"/>
  <c r="F73" i="48"/>
  <c r="F61" i="48"/>
  <c r="F56" i="48"/>
  <c r="F55" i="48"/>
  <c r="F63" i="48"/>
  <c r="F62" i="48"/>
  <c r="F47" i="48"/>
  <c r="F46" i="48"/>
  <c r="F39" i="48"/>
  <c r="F35" i="48"/>
  <c r="D17" i="48"/>
  <c r="F49" i="48"/>
  <c r="F48" i="48"/>
  <c r="F64" i="48"/>
  <c r="F40" i="48"/>
  <c r="F36" i="48"/>
  <c r="F32" i="48"/>
  <c r="F31" i="48"/>
  <c r="F66" i="48"/>
  <c r="F65" i="48"/>
  <c r="F50" i="48"/>
  <c r="F68" i="48"/>
  <c r="F43" i="48"/>
  <c r="F42" i="48"/>
  <c r="X19" i="48"/>
  <c r="Z19" i="48" s="1"/>
  <c r="Z20" i="48"/>
  <c r="F29" i="48"/>
  <c r="R43" i="48"/>
  <c r="N48" i="48"/>
  <c r="R51" i="48"/>
  <c r="F69" i="48"/>
  <c r="J32" i="51"/>
  <c r="N74" i="51"/>
  <c r="J97" i="45"/>
  <c r="J92" i="45"/>
  <c r="J76" i="45"/>
  <c r="J96" i="45"/>
  <c r="J80" i="45"/>
  <c r="J74" i="45"/>
  <c r="J38" i="45"/>
  <c r="J42" i="45"/>
  <c r="J46" i="45"/>
  <c r="J56" i="45"/>
  <c r="J68" i="45"/>
  <c r="J84" i="45"/>
  <c r="V97" i="45"/>
  <c r="Z76" i="51"/>
  <c r="J55" i="45"/>
  <c r="J67" i="45"/>
  <c r="J72" i="45"/>
  <c r="L80" i="45"/>
  <c r="N80" i="45" s="1"/>
  <c r="J87" i="45"/>
  <c r="J91" i="45"/>
  <c r="J95" i="45"/>
  <c r="H17" i="48"/>
  <c r="X55" i="48"/>
  <c r="Z55" i="48" s="1"/>
  <c r="X70" i="51"/>
  <c r="Z70" i="51" s="1"/>
  <c r="Z74" i="51"/>
  <c r="H33" i="55"/>
  <c r="N16" i="55"/>
  <c r="Z41" i="56"/>
  <c r="X15" i="45"/>
  <c r="J18" i="45"/>
  <c r="J28" i="45"/>
  <c r="J32" i="45"/>
  <c r="J36" i="45"/>
  <c r="V48" i="45"/>
  <c r="J54" i="45"/>
  <c r="V60" i="45"/>
  <c r="J66" i="45"/>
  <c r="J79" i="45"/>
  <c r="V81" i="45"/>
  <c r="P33" i="55"/>
  <c r="X104" i="42"/>
  <c r="L18" i="45"/>
  <c r="J41" i="45"/>
  <c r="J45" i="45"/>
  <c r="J53" i="45"/>
  <c r="J65" i="45"/>
  <c r="J83" i="45"/>
  <c r="J90" i="45"/>
  <c r="V103" i="45"/>
  <c r="V96" i="45"/>
  <c r="V88" i="45"/>
  <c r="V84" i="45"/>
  <c r="V80" i="45"/>
  <c r="V72" i="45"/>
  <c r="V90" i="45"/>
  <c r="V86" i="45"/>
  <c r="V82" i="45"/>
  <c r="V70" i="45"/>
  <c r="H23" i="45"/>
  <c r="V38" i="45"/>
  <c r="V42" i="45"/>
  <c r="V46" i="45"/>
  <c r="J52" i="45"/>
  <c r="V58" i="45"/>
  <c r="J64" i="45"/>
  <c r="J71" i="45"/>
  <c r="V76" i="45"/>
  <c r="J94" i="45"/>
  <c r="L15" i="48"/>
  <c r="R17" i="48"/>
  <c r="F33" i="48"/>
  <c r="N42" i="48"/>
  <c r="F44" i="48"/>
  <c r="F59" i="48"/>
  <c r="Z62" i="48"/>
  <c r="D12" i="51"/>
  <c r="Z61" i="57"/>
  <c r="J27" i="45"/>
  <c r="J31" i="45"/>
  <c r="J35" i="45"/>
  <c r="J51" i="45"/>
  <c r="X58" i="45"/>
  <c r="Z58" i="45" s="1"/>
  <c r="J63" i="45"/>
  <c r="L64" i="45"/>
  <c r="N64" i="45" s="1"/>
  <c r="J75" i="45"/>
  <c r="J78" i="45"/>
  <c r="J86" i="45"/>
  <c r="V95" i="45"/>
  <c r="L65" i="48"/>
  <c r="N65" i="48" s="1"/>
  <c r="J26" i="45"/>
  <c r="J40" i="45"/>
  <c r="J44" i="45"/>
  <c r="J50" i="45"/>
  <c r="J62" i="45"/>
  <c r="X80" i="45"/>
  <c r="Z80" i="45" s="1"/>
  <c r="J89" i="45"/>
  <c r="J99" i="45"/>
  <c r="J65" i="48"/>
  <c r="P71" i="48"/>
  <c r="R71" i="48" s="1"/>
  <c r="J21" i="45"/>
  <c r="V37" i="45"/>
  <c r="V41" i="45"/>
  <c r="V45" i="45"/>
  <c r="J49" i="45"/>
  <c r="V53" i="45"/>
  <c r="J61" i="45"/>
  <c r="V65" i="45"/>
  <c r="J82" i="45"/>
  <c r="V83" i="45"/>
  <c r="V91" i="45"/>
  <c r="J93" i="45"/>
  <c r="L99" i="45"/>
  <c r="N15" i="48"/>
  <c r="L19" i="48"/>
  <c r="N19" i="48" s="1"/>
  <c r="Z42" i="48"/>
  <c r="Z57" i="48"/>
  <c r="J20" i="48"/>
  <c r="J34" i="48"/>
  <c r="J38" i="48"/>
  <c r="J44" i="48"/>
  <c r="J54" i="48"/>
  <c r="J60" i="51"/>
  <c r="J64" i="51"/>
  <c r="J68" i="51"/>
  <c r="J78" i="51"/>
  <c r="X12" i="54"/>
  <c r="R22" i="54"/>
  <c r="R20" i="54"/>
  <c r="R18" i="54"/>
  <c r="R16" i="54"/>
  <c r="R14" i="54"/>
  <c r="P16" i="54"/>
  <c r="R24" i="54"/>
  <c r="R31" i="54"/>
  <c r="R29" i="54"/>
  <c r="R28" i="54"/>
  <c r="R26" i="54"/>
  <c r="L18" i="54"/>
  <c r="H22" i="54"/>
  <c r="N41" i="56"/>
  <c r="N43" i="56"/>
  <c r="L43" i="56"/>
  <c r="F61" i="56"/>
  <c r="N63" i="56"/>
  <c r="L63" i="56"/>
  <c r="F69" i="56"/>
  <c r="L71" i="56"/>
  <c r="N71" i="56" s="1"/>
  <c r="R48" i="57"/>
  <c r="R47" i="57"/>
  <c r="R39" i="57"/>
  <c r="R35" i="57"/>
  <c r="R31" i="57"/>
  <c r="R66" i="57"/>
  <c r="R58" i="57"/>
  <c r="R26" i="57"/>
  <c r="R22" i="57"/>
  <c r="X12" i="57"/>
  <c r="R69" i="57"/>
  <c r="R68" i="57"/>
  <c r="R50" i="57"/>
  <c r="R49" i="57"/>
  <c r="R70" i="57"/>
  <c r="R41" i="57"/>
  <c r="R40" i="57"/>
  <c r="R36" i="57"/>
  <c r="R32" i="57"/>
  <c r="R71" i="57"/>
  <c r="R59" i="57"/>
  <c r="R52" i="57"/>
  <c r="R51" i="57"/>
  <c r="R27" i="57"/>
  <c r="R23" i="57"/>
  <c r="R73" i="57"/>
  <c r="R43" i="57"/>
  <c r="R42" i="57"/>
  <c r="R53" i="57"/>
  <c r="R37" i="57"/>
  <c r="R33" i="57"/>
  <c r="R61" i="57"/>
  <c r="R60" i="57"/>
  <c r="R45" i="57"/>
  <c r="R44" i="57"/>
  <c r="R28" i="57"/>
  <c r="R24" i="57"/>
  <c r="R75" i="57"/>
  <c r="R20" i="57"/>
  <c r="R65" i="57"/>
  <c r="R64" i="57"/>
  <c r="R57" i="57"/>
  <c r="R56" i="57"/>
  <c r="N19" i="57"/>
  <c r="R21" i="57"/>
  <c r="X30" i="57"/>
  <c r="Z30" i="57" s="1"/>
  <c r="R63" i="57"/>
  <c r="V14" i="58"/>
  <c r="J63" i="51"/>
  <c r="J67" i="51"/>
  <c r="J75" i="51"/>
  <c r="J84" i="51"/>
  <c r="J91" i="51"/>
  <c r="R23" i="55"/>
  <c r="R22" i="55"/>
  <c r="R35" i="55"/>
  <c r="R40" i="55"/>
  <c r="R37" i="55"/>
  <c r="R25" i="55"/>
  <c r="R24" i="55"/>
  <c r="R27" i="55"/>
  <c r="R26" i="55"/>
  <c r="R28" i="55"/>
  <c r="X12" i="55"/>
  <c r="R19" i="55"/>
  <c r="R16" i="55"/>
  <c r="Z30" i="56"/>
  <c r="Z61" i="56"/>
  <c r="Z69" i="56"/>
  <c r="Z19" i="57"/>
  <c r="F53" i="57"/>
  <c r="N55" i="57"/>
  <c r="Z57" i="57"/>
  <c r="X57" i="57"/>
  <c r="J36" i="51"/>
  <c r="J40" i="51"/>
  <c r="H45" i="51"/>
  <c r="J74" i="51"/>
  <c r="J93" i="51"/>
  <c r="N21" i="55"/>
  <c r="H78" i="56"/>
  <c r="N17" i="56"/>
  <c r="F42" i="56"/>
  <c r="Z45" i="56"/>
  <c r="Z47" i="56"/>
  <c r="X49" i="56"/>
  <c r="Z49" i="56" s="1"/>
  <c r="Z53" i="56"/>
  <c r="Z73" i="56"/>
  <c r="Z76" i="56"/>
  <c r="X76" i="56"/>
  <c r="H73" i="57"/>
  <c r="J45" i="59"/>
  <c r="J29" i="59"/>
  <c r="J25" i="59"/>
  <c r="J21" i="59"/>
  <c r="J63" i="59"/>
  <c r="J55" i="59"/>
  <c r="J47" i="59"/>
  <c r="J39" i="59"/>
  <c r="J35" i="59"/>
  <c r="J31" i="59"/>
  <c r="J64" i="59"/>
  <c r="J56" i="59"/>
  <c r="J48" i="59"/>
  <c r="J26" i="59"/>
  <c r="J22" i="59"/>
  <c r="J65" i="59"/>
  <c r="J57" i="59"/>
  <c r="J49" i="59"/>
  <c r="J69" i="59"/>
  <c r="J67" i="59"/>
  <c r="J51" i="59"/>
  <c r="J41" i="59"/>
  <c r="J27" i="59"/>
  <c r="J23" i="59"/>
  <c r="L12" i="59"/>
  <c r="J71" i="59"/>
  <c r="J59" i="59"/>
  <c r="J53" i="59"/>
  <c r="J43" i="59"/>
  <c r="J37" i="59"/>
  <c r="J33" i="59"/>
  <c r="J19" i="59"/>
  <c r="J60" i="59"/>
  <c r="J44" i="59"/>
  <c r="J28" i="59"/>
  <c r="J24" i="59"/>
  <c r="J20" i="59"/>
  <c r="J18" i="59"/>
  <c r="J16" i="59"/>
  <c r="J14" i="59"/>
  <c r="J62" i="59"/>
  <c r="J54" i="59"/>
  <c r="J38" i="59"/>
  <c r="J34" i="59"/>
  <c r="J46" i="59"/>
  <c r="J73" i="59"/>
  <c r="J42" i="59"/>
  <c r="J58" i="59"/>
  <c r="J52" i="59"/>
  <c r="J50" i="59"/>
  <c r="J61" i="59"/>
  <c r="J40" i="59"/>
  <c r="H16" i="59"/>
  <c r="J36" i="59"/>
  <c r="J47" i="51"/>
  <c r="J49" i="51"/>
  <c r="J53" i="51"/>
  <c r="J57" i="51"/>
  <c r="J73" i="51"/>
  <c r="J83" i="51"/>
  <c r="D96" i="51"/>
  <c r="L96" i="51" s="1"/>
  <c r="L20" i="54"/>
  <c r="F62" i="56"/>
  <c r="F70" i="56"/>
  <c r="D68" i="57"/>
  <c r="L68" i="57" s="1"/>
  <c r="V37" i="68"/>
  <c r="J32" i="48"/>
  <c r="J36" i="48"/>
  <c r="J40" i="48"/>
  <c r="J64" i="48"/>
  <c r="J48" i="51"/>
  <c r="J62" i="51"/>
  <c r="J66" i="51"/>
  <c r="J72" i="51"/>
  <c r="J82" i="51"/>
  <c r="J90" i="51"/>
  <c r="Z91" i="51"/>
  <c r="N96" i="51"/>
  <c r="X14" i="54"/>
  <c r="L14" i="55"/>
  <c r="N18" i="55"/>
  <c r="X21" i="55"/>
  <c r="L27" i="55"/>
  <c r="X31" i="55"/>
  <c r="Z57" i="56"/>
  <c r="Z55" i="57"/>
  <c r="R78" i="58"/>
  <c r="R52" i="58"/>
  <c r="R83" i="58"/>
  <c r="R80" i="58"/>
  <c r="R59" i="58"/>
  <c r="R69" i="58"/>
  <c r="R68" i="58"/>
  <c r="R61" i="58"/>
  <c r="R60" i="58"/>
  <c r="R71" i="58"/>
  <c r="R70" i="58"/>
  <c r="R63" i="58"/>
  <c r="R62" i="58"/>
  <c r="R47" i="58"/>
  <c r="R46" i="58"/>
  <c r="R76" i="58"/>
  <c r="R74" i="58"/>
  <c r="R28" i="58"/>
  <c r="R24" i="58"/>
  <c r="R20" i="58"/>
  <c r="P16" i="58"/>
  <c r="R65" i="58"/>
  <c r="R57" i="58"/>
  <c r="R50" i="58"/>
  <c r="R44" i="58"/>
  <c r="R38" i="58"/>
  <c r="R34" i="58"/>
  <c r="R58" i="58"/>
  <c r="R30" i="58"/>
  <c r="R29" i="58"/>
  <c r="R25" i="58"/>
  <c r="R21" i="58"/>
  <c r="R55" i="58"/>
  <c r="R45" i="58"/>
  <c r="R66" i="58"/>
  <c r="R39" i="58"/>
  <c r="R35" i="58"/>
  <c r="R31" i="58"/>
  <c r="R26" i="58"/>
  <c r="R22" i="58"/>
  <c r="R51" i="58"/>
  <c r="R48" i="58"/>
  <c r="R72" i="58"/>
  <c r="R67" i="58"/>
  <c r="R53" i="58"/>
  <c r="R41" i="58"/>
  <c r="R40" i="58"/>
  <c r="R36" i="58"/>
  <c r="R32" i="58"/>
  <c r="X12" i="58"/>
  <c r="R54" i="58"/>
  <c r="R43" i="58"/>
  <c r="R37" i="58"/>
  <c r="R33" i="58"/>
  <c r="R18" i="58"/>
  <c r="R16" i="58"/>
  <c r="R14" i="58"/>
  <c r="X18" i="58"/>
  <c r="Z18" i="58" s="1"/>
  <c r="R27" i="58"/>
  <c r="J30" i="59"/>
  <c r="J35" i="51"/>
  <c r="J39" i="51"/>
  <c r="J43" i="51"/>
  <c r="J71" i="51"/>
  <c r="J81" i="51"/>
  <c r="R21" i="55"/>
  <c r="R31" i="55"/>
  <c r="V67" i="58"/>
  <c r="V59" i="58"/>
  <c r="V66" i="58"/>
  <c r="V54" i="58"/>
  <c r="V71" i="58"/>
  <c r="V63" i="58"/>
  <c r="V55" i="58"/>
  <c r="V47" i="58"/>
  <c r="V49" i="58"/>
  <c r="V76" i="58"/>
  <c r="V74" i="58"/>
  <c r="V72" i="58"/>
  <c r="V64" i="58"/>
  <c r="V56" i="58"/>
  <c r="V48" i="58"/>
  <c r="V58" i="58"/>
  <c r="V50" i="58"/>
  <c r="V68" i="58"/>
  <c r="V65" i="58"/>
  <c r="V62" i="58"/>
  <c r="V52" i="58"/>
  <c r="V57" i="58"/>
  <c r="V44" i="58"/>
  <c r="V38" i="58"/>
  <c r="V34" i="58"/>
  <c r="V30" i="58"/>
  <c r="V83" i="58"/>
  <c r="V78" i="58"/>
  <c r="V60" i="58"/>
  <c r="V45" i="58"/>
  <c r="V29" i="58"/>
  <c r="V25" i="58"/>
  <c r="V21" i="58"/>
  <c r="V69" i="58"/>
  <c r="V61" i="58"/>
  <c r="V39" i="58"/>
  <c r="V35" i="58"/>
  <c r="V31" i="58"/>
  <c r="V51" i="58"/>
  <c r="V26" i="58"/>
  <c r="V22" i="58"/>
  <c r="V41" i="58"/>
  <c r="V80" i="58"/>
  <c r="V53" i="58"/>
  <c r="V40" i="58"/>
  <c r="V36" i="58"/>
  <c r="V32" i="58"/>
  <c r="Z12" i="58"/>
  <c r="V27" i="58"/>
  <c r="V23" i="58"/>
  <c r="V19" i="58"/>
  <c r="V70" i="58"/>
  <c r="V28" i="58"/>
  <c r="V24" i="58"/>
  <c r="V20" i="58"/>
  <c r="V18" i="58"/>
  <c r="V37" i="58"/>
  <c r="Z43" i="58"/>
  <c r="X43" i="58"/>
  <c r="J58" i="48"/>
  <c r="J52" i="51"/>
  <c r="J56" i="51"/>
  <c r="J70" i="51"/>
  <c r="J80" i="51"/>
  <c r="J98" i="51"/>
  <c r="D16" i="54"/>
  <c r="X20" i="54"/>
  <c r="R18" i="55"/>
  <c r="Z21" i="55"/>
  <c r="N27" i="55"/>
  <c r="P17" i="56"/>
  <c r="F41" i="57"/>
  <c r="N43" i="57"/>
  <c r="L43" i="57"/>
  <c r="V43" i="58"/>
  <c r="X68" i="48"/>
  <c r="Z68" i="48" s="1"/>
  <c r="J61" i="51"/>
  <c r="J65" i="51"/>
  <c r="L70" i="51"/>
  <c r="N70" i="51" s="1"/>
  <c r="X76" i="51"/>
  <c r="Z96" i="51"/>
  <c r="Z18" i="55"/>
  <c r="F74" i="56"/>
  <c r="F73" i="56"/>
  <c r="F66" i="56"/>
  <c r="F65" i="56"/>
  <c r="F58" i="56"/>
  <c r="F57" i="56"/>
  <c r="F46" i="56"/>
  <c r="F45" i="56"/>
  <c r="F38" i="56"/>
  <c r="F34" i="56"/>
  <c r="F29" i="56"/>
  <c r="F25" i="56"/>
  <c r="F21" i="56"/>
  <c r="F20" i="56"/>
  <c r="F48" i="56"/>
  <c r="F47" i="56"/>
  <c r="F19" i="56"/>
  <c r="F17" i="56"/>
  <c r="F15" i="56"/>
  <c r="F78" i="56"/>
  <c r="F76" i="56"/>
  <c r="F67" i="56"/>
  <c r="F59" i="56"/>
  <c r="F39" i="56"/>
  <c r="F35" i="56"/>
  <c r="F31" i="56"/>
  <c r="F30" i="56"/>
  <c r="D17" i="56"/>
  <c r="F80" i="56"/>
  <c r="F50" i="56"/>
  <c r="F49" i="56"/>
  <c r="F26" i="56"/>
  <c r="F22" i="56"/>
  <c r="L12" i="56"/>
  <c r="F68" i="56"/>
  <c r="F60" i="56"/>
  <c r="F52" i="56"/>
  <c r="F51" i="56"/>
  <c r="F40" i="56"/>
  <c r="F36" i="56"/>
  <c r="F32" i="56"/>
  <c r="F85" i="56"/>
  <c r="F82" i="56"/>
  <c r="F27" i="56"/>
  <c r="F23" i="56"/>
  <c r="F72" i="56"/>
  <c r="F71" i="56"/>
  <c r="F64" i="56"/>
  <c r="F63" i="56"/>
  <c r="F56" i="56"/>
  <c r="F55" i="56"/>
  <c r="F44" i="56"/>
  <c r="F43" i="56"/>
  <c r="F28" i="56"/>
  <c r="F24" i="56"/>
  <c r="F75" i="57"/>
  <c r="F62" i="57"/>
  <c r="F61" i="57"/>
  <c r="F54" i="57"/>
  <c r="F46" i="57"/>
  <c r="F45" i="57"/>
  <c r="F38" i="57"/>
  <c r="F34" i="57"/>
  <c r="F29" i="57"/>
  <c r="F25" i="57"/>
  <c r="F21" i="57"/>
  <c r="F20" i="57"/>
  <c r="F80" i="57"/>
  <c r="F77" i="57"/>
  <c r="F64" i="57"/>
  <c r="F63" i="57"/>
  <c r="F56" i="57"/>
  <c r="F55" i="57"/>
  <c r="F19" i="57"/>
  <c r="F17" i="57"/>
  <c r="F15" i="57"/>
  <c r="F47" i="57"/>
  <c r="F39" i="57"/>
  <c r="F35" i="57"/>
  <c r="F31" i="57"/>
  <c r="F30" i="57"/>
  <c r="D17" i="57"/>
  <c r="F66" i="57"/>
  <c r="F65" i="57"/>
  <c r="F58" i="57"/>
  <c r="F57" i="57"/>
  <c r="F26" i="57"/>
  <c r="F22" i="57"/>
  <c r="L12" i="57"/>
  <c r="F49" i="57"/>
  <c r="F48" i="57"/>
  <c r="F69" i="57"/>
  <c r="F40" i="57"/>
  <c r="F36" i="57"/>
  <c r="F32" i="57"/>
  <c r="F70" i="57"/>
  <c r="F68" i="57"/>
  <c r="F59" i="57"/>
  <c r="F51" i="57"/>
  <c r="F50" i="57"/>
  <c r="F27" i="57"/>
  <c r="F23" i="57"/>
  <c r="F73" i="57"/>
  <c r="F60" i="57"/>
  <c r="F44" i="57"/>
  <c r="F43" i="57"/>
  <c r="F28" i="57"/>
  <c r="F24" i="57"/>
  <c r="X17" i="57"/>
  <c r="F37" i="57"/>
  <c r="N41" i="57"/>
  <c r="L52" i="57"/>
  <c r="N52" i="57" s="1"/>
  <c r="V46" i="58"/>
  <c r="J87" i="51"/>
  <c r="J97" i="51"/>
  <c r="J96" i="51"/>
  <c r="J88" i="51"/>
  <c r="J102" i="51"/>
  <c r="J94" i="51"/>
  <c r="J34" i="51"/>
  <c r="J38" i="51"/>
  <c r="J42" i="51"/>
  <c r="Z83" i="51"/>
  <c r="J92" i="51"/>
  <c r="R20" i="55"/>
  <c r="R29" i="55"/>
  <c r="Z65" i="57"/>
  <c r="X65" i="57"/>
  <c r="X18" i="59"/>
  <c r="Z18" i="59" s="1"/>
  <c r="J55" i="48"/>
  <c r="J61" i="48"/>
  <c r="J51" i="51"/>
  <c r="J55" i="51"/>
  <c r="J79" i="51"/>
  <c r="J86" i="51"/>
  <c r="J89" i="51"/>
  <c r="T16" i="54"/>
  <c r="Z27" i="55"/>
  <c r="N19" i="56"/>
  <c r="F41" i="56"/>
  <c r="Z41" i="57"/>
  <c r="Z45" i="57"/>
  <c r="F71" i="57"/>
  <c r="Z14" i="58"/>
  <c r="X14" i="58"/>
  <c r="V42" i="58"/>
  <c r="R56" i="58"/>
  <c r="J26" i="54"/>
  <c r="J28" i="54"/>
  <c r="J29" i="54"/>
  <c r="J31" i="54"/>
  <c r="V22" i="55"/>
  <c r="N15" i="56"/>
  <c r="V31" i="56"/>
  <c r="V35" i="56"/>
  <c r="V39" i="56"/>
  <c r="J45" i="56"/>
  <c r="R48" i="56"/>
  <c r="R49" i="56"/>
  <c r="V51" i="56"/>
  <c r="J57" i="56"/>
  <c r="V59" i="56"/>
  <c r="J65" i="56"/>
  <c r="V67" i="56"/>
  <c r="J73" i="56"/>
  <c r="N15" i="57"/>
  <c r="V31" i="57"/>
  <c r="V35" i="57"/>
  <c r="V39" i="57"/>
  <c r="J45" i="57"/>
  <c r="V47" i="57"/>
  <c r="J61" i="57"/>
  <c r="J75" i="57"/>
  <c r="N12" i="58"/>
  <c r="J32" i="58"/>
  <c r="J36" i="58"/>
  <c r="J40" i="58"/>
  <c r="Z47" i="58"/>
  <c r="L51" i="58"/>
  <c r="N51" i="58" s="1"/>
  <c r="F59" i="58"/>
  <c r="J64" i="58"/>
  <c r="J72" i="58"/>
  <c r="N30" i="59"/>
  <c r="X47" i="60"/>
  <c r="Z47" i="60" s="1"/>
  <c r="N19" i="63"/>
  <c r="T16" i="55"/>
  <c r="T17" i="56"/>
  <c r="V30" i="56"/>
  <c r="V34" i="56"/>
  <c r="V38" i="56"/>
  <c r="V46" i="56"/>
  <c r="V58" i="56"/>
  <c r="J62" i="56"/>
  <c r="V66" i="56"/>
  <c r="J70" i="56"/>
  <c r="V74" i="56"/>
  <c r="V76" i="56"/>
  <c r="V78" i="56"/>
  <c r="T17" i="57"/>
  <c r="V30" i="57"/>
  <c r="V34" i="57"/>
  <c r="V38" i="57"/>
  <c r="V46" i="57"/>
  <c r="V54" i="57"/>
  <c r="V62" i="57"/>
  <c r="J71" i="57"/>
  <c r="J31" i="58"/>
  <c r="J35" i="58"/>
  <c r="J39" i="58"/>
  <c r="F45" i="58"/>
  <c r="F58" i="58"/>
  <c r="N61" i="58"/>
  <c r="J66" i="58"/>
  <c r="F69" i="58"/>
  <c r="R26" i="59"/>
  <c r="R22" i="59"/>
  <c r="R69" i="59"/>
  <c r="R67" i="59"/>
  <c r="R41" i="59"/>
  <c r="R40" i="59"/>
  <c r="R36" i="59"/>
  <c r="R32" i="59"/>
  <c r="X12" i="59"/>
  <c r="R52" i="59"/>
  <c r="R51" i="59"/>
  <c r="R27" i="59"/>
  <c r="R23" i="59"/>
  <c r="R59" i="59"/>
  <c r="R58" i="59"/>
  <c r="R43" i="59"/>
  <c r="R42" i="59"/>
  <c r="R71" i="59"/>
  <c r="R76" i="59"/>
  <c r="R73" i="59"/>
  <c r="R61" i="59"/>
  <c r="R60" i="59"/>
  <c r="R44" i="59"/>
  <c r="R28" i="59"/>
  <c r="R24" i="59"/>
  <c r="R20" i="59"/>
  <c r="P16" i="59"/>
  <c r="R62" i="59"/>
  <c r="R54" i="59"/>
  <c r="R38" i="59"/>
  <c r="R34" i="59"/>
  <c r="R46" i="59"/>
  <c r="R45" i="59"/>
  <c r="R30" i="59"/>
  <c r="R29" i="59"/>
  <c r="R25" i="59"/>
  <c r="R21" i="59"/>
  <c r="R64" i="59"/>
  <c r="R63" i="59"/>
  <c r="R56" i="59"/>
  <c r="R55" i="59"/>
  <c r="R48" i="59"/>
  <c r="R47" i="59"/>
  <c r="R39" i="59"/>
  <c r="R35" i="59"/>
  <c r="R31" i="59"/>
  <c r="N61" i="59"/>
  <c r="J101" i="63"/>
  <c r="J89" i="63"/>
  <c r="J77" i="63"/>
  <c r="J72" i="63"/>
  <c r="J66" i="63"/>
  <c r="J54" i="63"/>
  <c r="J44" i="63"/>
  <c r="J91" i="63"/>
  <c r="J83" i="63"/>
  <c r="J79" i="63"/>
  <c r="J67" i="63"/>
  <c r="J55" i="63"/>
  <c r="J45" i="63"/>
  <c r="J29" i="63"/>
  <c r="J96" i="63"/>
  <c r="J95" i="63"/>
  <c r="J85" i="63"/>
  <c r="J59" i="63"/>
  <c r="J39" i="63"/>
  <c r="J35" i="63"/>
  <c r="J31" i="63"/>
  <c r="J97" i="63"/>
  <c r="J86" i="63"/>
  <c r="J74" i="63"/>
  <c r="J60" i="63"/>
  <c r="J40" i="63"/>
  <c r="J26" i="63"/>
  <c r="J99" i="63"/>
  <c r="J80" i="63"/>
  <c r="J69" i="63"/>
  <c r="J63" i="63"/>
  <c r="J52" i="63"/>
  <c r="J43" i="63"/>
  <c r="J24" i="63"/>
  <c r="J20" i="63"/>
  <c r="J18" i="63"/>
  <c r="J16" i="63"/>
  <c r="J14" i="63"/>
  <c r="J103" i="63"/>
  <c r="J92" i="63"/>
  <c r="J75" i="63"/>
  <c r="J49" i="63"/>
  <c r="H16" i="63"/>
  <c r="J78" i="63"/>
  <c r="J46" i="63"/>
  <c r="J34" i="63"/>
  <c r="J57" i="63"/>
  <c r="J53" i="63"/>
  <c r="J28" i="63"/>
  <c r="J25" i="63"/>
  <c r="J21" i="63"/>
  <c r="J64" i="63"/>
  <c r="J50" i="63"/>
  <c r="J37" i="63"/>
  <c r="J93" i="63"/>
  <c r="J87" i="63"/>
  <c r="J81" i="63"/>
  <c r="J70" i="63"/>
  <c r="J61" i="63"/>
  <c r="J47" i="63"/>
  <c r="J32" i="63"/>
  <c r="J106" i="63"/>
  <c r="J90" i="63"/>
  <c r="J84" i="63"/>
  <c r="J73" i="63"/>
  <c r="J22" i="63"/>
  <c r="J76" i="63"/>
  <c r="J68" i="63"/>
  <c r="J65" i="63"/>
  <c r="J58" i="63"/>
  <c r="J41" i="63"/>
  <c r="J82" i="63"/>
  <c r="J71" i="63"/>
  <c r="J62" i="63"/>
  <c r="J51" i="63"/>
  <c r="J48" i="63"/>
  <c r="J42" i="63"/>
  <c r="J38" i="63"/>
  <c r="J30" i="63"/>
  <c r="N12" i="63"/>
  <c r="J23" i="63"/>
  <c r="L12" i="63"/>
  <c r="J88" i="63"/>
  <c r="J56" i="63"/>
  <c r="J36" i="63"/>
  <c r="J19" i="63"/>
  <c r="J14" i="54"/>
  <c r="J16" i="54"/>
  <c r="J18" i="54"/>
  <c r="J20" i="54"/>
  <c r="J22" i="54"/>
  <c r="V14" i="55"/>
  <c r="V16" i="55"/>
  <c r="V18" i="55"/>
  <c r="J26" i="55"/>
  <c r="V15" i="56"/>
  <c r="V17" i="56"/>
  <c r="V19" i="56"/>
  <c r="J23" i="56"/>
  <c r="R24" i="56"/>
  <c r="J27" i="56"/>
  <c r="R28" i="56"/>
  <c r="J41" i="56"/>
  <c r="R44" i="56"/>
  <c r="R45" i="56"/>
  <c r="V47" i="56"/>
  <c r="J53" i="56"/>
  <c r="R56" i="56"/>
  <c r="R57" i="56"/>
  <c r="J61" i="56"/>
  <c r="R64" i="56"/>
  <c r="R65" i="56"/>
  <c r="J69" i="56"/>
  <c r="R72" i="56"/>
  <c r="R73" i="56"/>
  <c r="V15" i="57"/>
  <c r="V17" i="57"/>
  <c r="V19" i="57"/>
  <c r="J23" i="57"/>
  <c r="J27" i="57"/>
  <c r="J41" i="57"/>
  <c r="J51" i="57"/>
  <c r="V55" i="57"/>
  <c r="J59" i="57"/>
  <c r="V63" i="57"/>
  <c r="J70" i="57"/>
  <c r="V75" i="57"/>
  <c r="V77" i="57"/>
  <c r="V80" i="57"/>
  <c r="F21" i="58"/>
  <c r="F25" i="58"/>
  <c r="F29" i="58"/>
  <c r="J30" i="58"/>
  <c r="N45" i="58"/>
  <c r="J55" i="58"/>
  <c r="J61" i="58"/>
  <c r="N69" i="58"/>
  <c r="R65" i="59"/>
  <c r="Z14" i="60"/>
  <c r="X14" i="60"/>
  <c r="F63" i="69"/>
  <c r="F61" i="69"/>
  <c r="F54" i="69"/>
  <c r="F46" i="69"/>
  <c r="F45" i="69"/>
  <c r="F38" i="69"/>
  <c r="F34" i="69"/>
  <c r="F57" i="69"/>
  <c r="F20" i="69"/>
  <c r="F18" i="69"/>
  <c r="F49" i="69"/>
  <c r="F39" i="69"/>
  <c r="F36" i="69"/>
  <c r="F33" i="69"/>
  <c r="F29" i="69"/>
  <c r="F50" i="69"/>
  <c r="F65" i="69"/>
  <c r="F40" i="69"/>
  <c r="F23" i="69"/>
  <c r="F58" i="69"/>
  <c r="F37" i="69"/>
  <c r="F30" i="69"/>
  <c r="F55" i="69"/>
  <c r="F59" i="69"/>
  <c r="F51" i="69"/>
  <c r="F47" i="69"/>
  <c r="F41" i="69"/>
  <c r="F31" i="69"/>
  <c r="F27" i="69"/>
  <c r="F24" i="69"/>
  <c r="F15" i="69"/>
  <c r="F67" i="69"/>
  <c r="F16" i="69"/>
  <c r="F56" i="69"/>
  <c r="F52" i="69"/>
  <c r="F42" i="69"/>
  <c r="L12" i="69"/>
  <c r="F48" i="69"/>
  <c r="F35" i="69"/>
  <c r="F32" i="69"/>
  <c r="F28" i="69"/>
  <c r="F26" i="69"/>
  <c r="D18" i="69"/>
  <c r="F43" i="69"/>
  <c r="F21" i="69"/>
  <c r="F70" i="69"/>
  <c r="F44" i="69"/>
  <c r="F22" i="69"/>
  <c r="F53" i="69"/>
  <c r="F25" i="69"/>
  <c r="Z15" i="69"/>
  <c r="V15" i="69"/>
  <c r="J51" i="70"/>
  <c r="H111" i="70"/>
  <c r="F23" i="55"/>
  <c r="F24" i="55"/>
  <c r="J25" i="55"/>
  <c r="J37" i="55"/>
  <c r="J40" i="55"/>
  <c r="V20" i="56"/>
  <c r="V24" i="56"/>
  <c r="V28" i="56"/>
  <c r="J32" i="56"/>
  <c r="R33" i="56"/>
  <c r="J36" i="56"/>
  <c r="R37" i="56"/>
  <c r="J40" i="56"/>
  <c r="V44" i="56"/>
  <c r="J52" i="56"/>
  <c r="V56" i="56"/>
  <c r="J60" i="56"/>
  <c r="V64" i="56"/>
  <c r="J68" i="56"/>
  <c r="V72" i="56"/>
  <c r="J82" i="56"/>
  <c r="J85" i="56"/>
  <c r="X13" i="57"/>
  <c r="V20" i="57"/>
  <c r="V24" i="57"/>
  <c r="V28" i="57"/>
  <c r="J32" i="57"/>
  <c r="J36" i="57"/>
  <c r="J40" i="57"/>
  <c r="V44" i="57"/>
  <c r="J50" i="57"/>
  <c r="V60" i="57"/>
  <c r="J68" i="57"/>
  <c r="J69" i="57"/>
  <c r="D16" i="58"/>
  <c r="J21" i="58"/>
  <c r="J25" i="58"/>
  <c r="J29" i="58"/>
  <c r="F34" i="58"/>
  <c r="F38" i="58"/>
  <c r="J45" i="58"/>
  <c r="Z51" i="58"/>
  <c r="F57" i="58"/>
  <c r="J58" i="58"/>
  <c r="J63" i="58"/>
  <c r="J69" i="58"/>
  <c r="R16" i="59"/>
  <c r="Z41" i="59"/>
  <c r="D60" i="61"/>
  <c r="J24" i="55"/>
  <c r="V28" i="55"/>
  <c r="F35" i="55"/>
  <c r="V33" i="56"/>
  <c r="V37" i="56"/>
  <c r="R42" i="56"/>
  <c r="R43" i="56"/>
  <c r="V45" i="56"/>
  <c r="J51" i="56"/>
  <c r="R54" i="56"/>
  <c r="R55" i="56"/>
  <c r="V57" i="56"/>
  <c r="R62" i="56"/>
  <c r="R63" i="56"/>
  <c r="V65" i="56"/>
  <c r="R70" i="56"/>
  <c r="R71" i="56"/>
  <c r="V73" i="56"/>
  <c r="V33" i="57"/>
  <c r="V37" i="57"/>
  <c r="V45" i="57"/>
  <c r="J49" i="57"/>
  <c r="V53" i="57"/>
  <c r="V61" i="57"/>
  <c r="F14" i="58"/>
  <c r="F16" i="58"/>
  <c r="F18" i="58"/>
  <c r="J34" i="58"/>
  <c r="J38" i="58"/>
  <c r="F44" i="58"/>
  <c r="X45" i="58"/>
  <c r="F50" i="58"/>
  <c r="J57" i="58"/>
  <c r="F60" i="58"/>
  <c r="Z61" i="58"/>
  <c r="N63" i="58"/>
  <c r="F65" i="58"/>
  <c r="X69" i="58"/>
  <c r="N71" i="58"/>
  <c r="J78" i="58"/>
  <c r="J83" i="58"/>
  <c r="L16" i="59"/>
  <c r="D69" i="59"/>
  <c r="T16" i="59"/>
  <c r="Z61" i="59"/>
  <c r="T16" i="60"/>
  <c r="Z44" i="60"/>
  <c r="N40" i="61"/>
  <c r="D16" i="55"/>
  <c r="V42" i="56"/>
  <c r="J50" i="56"/>
  <c r="V54" i="56"/>
  <c r="V62" i="56"/>
  <c r="V70" i="56"/>
  <c r="J80" i="56"/>
  <c r="V42" i="57"/>
  <c r="J58" i="57"/>
  <c r="J66" i="57"/>
  <c r="H16" i="58"/>
  <c r="F19" i="58"/>
  <c r="F20" i="58"/>
  <c r="F24" i="58"/>
  <c r="F28" i="58"/>
  <c r="F43" i="58"/>
  <c r="J47" i="58"/>
  <c r="J65" i="58"/>
  <c r="Z69" i="58"/>
  <c r="F74" i="58"/>
  <c r="J52" i="60"/>
  <c r="J28" i="60"/>
  <c r="J24" i="60"/>
  <c r="J20" i="60"/>
  <c r="J18" i="60"/>
  <c r="J16" i="60"/>
  <c r="J14" i="60"/>
  <c r="J53" i="60"/>
  <c r="J29" i="60"/>
  <c r="H16" i="60"/>
  <c r="J54" i="60"/>
  <c r="J46" i="60"/>
  <c r="J38" i="60"/>
  <c r="J34" i="60"/>
  <c r="J30" i="60"/>
  <c r="J47" i="60"/>
  <c r="J25" i="60"/>
  <c r="J21" i="60"/>
  <c r="J58" i="60"/>
  <c r="J56" i="60"/>
  <c r="J48" i="60"/>
  <c r="J49" i="60"/>
  <c r="J39" i="60"/>
  <c r="J35" i="60"/>
  <c r="J31" i="60"/>
  <c r="J60" i="60"/>
  <c r="J50" i="60"/>
  <c r="J40" i="60"/>
  <c r="J26" i="60"/>
  <c r="J22" i="60"/>
  <c r="J41" i="60"/>
  <c r="J65" i="60"/>
  <c r="J62" i="60"/>
  <c r="J42" i="60"/>
  <c r="J36" i="60"/>
  <c r="J32" i="60"/>
  <c r="N12" i="60"/>
  <c r="J51" i="60"/>
  <c r="J43" i="60"/>
  <c r="J27" i="60"/>
  <c r="J23" i="60"/>
  <c r="L12" i="60"/>
  <c r="J45" i="60"/>
  <c r="J37" i="60"/>
  <c r="J33" i="60"/>
  <c r="J19" i="60"/>
  <c r="D99" i="63"/>
  <c r="L16" i="63"/>
  <c r="N45" i="63"/>
  <c r="J22" i="55"/>
  <c r="V26" i="55"/>
  <c r="V23" i="56"/>
  <c r="V27" i="56"/>
  <c r="J31" i="56"/>
  <c r="R32" i="56"/>
  <c r="J35" i="56"/>
  <c r="R36" i="56"/>
  <c r="J39" i="56"/>
  <c r="R40" i="56"/>
  <c r="R41" i="56"/>
  <c r="V43" i="56"/>
  <c r="J49" i="56"/>
  <c r="R52" i="56"/>
  <c r="R53" i="56"/>
  <c r="V55" i="56"/>
  <c r="J59" i="56"/>
  <c r="R60" i="56"/>
  <c r="R61" i="56"/>
  <c r="V63" i="56"/>
  <c r="J67" i="56"/>
  <c r="R68" i="56"/>
  <c r="R69" i="56"/>
  <c r="V71" i="56"/>
  <c r="V23" i="57"/>
  <c r="V27" i="57"/>
  <c r="J31" i="57"/>
  <c r="J35" i="57"/>
  <c r="J39" i="57"/>
  <c r="V43" i="57"/>
  <c r="J47" i="57"/>
  <c r="V51" i="57"/>
  <c r="J57" i="57"/>
  <c r="V59" i="57"/>
  <c r="J65" i="57"/>
  <c r="P68" i="57"/>
  <c r="X68" i="57" s="1"/>
  <c r="V71" i="57"/>
  <c r="V73" i="57"/>
  <c r="J14" i="58"/>
  <c r="J16" i="58"/>
  <c r="J18" i="58"/>
  <c r="J20" i="58"/>
  <c r="J24" i="58"/>
  <c r="J28" i="58"/>
  <c r="F33" i="58"/>
  <c r="F37" i="58"/>
  <c r="Z45" i="58"/>
  <c r="J52" i="58"/>
  <c r="L54" i="58"/>
  <c r="N54" i="58" s="1"/>
  <c r="L18" i="59"/>
  <c r="N18" i="59" s="1"/>
  <c r="R33" i="59"/>
  <c r="R50" i="59"/>
  <c r="N67" i="59"/>
  <c r="L67" i="59"/>
  <c r="R58" i="60"/>
  <c r="R56" i="60"/>
  <c r="R25" i="60"/>
  <c r="R21" i="60"/>
  <c r="R49" i="60"/>
  <c r="R48" i="60"/>
  <c r="R40" i="60"/>
  <c r="R39" i="60"/>
  <c r="R35" i="60"/>
  <c r="R31" i="60"/>
  <c r="R60" i="60"/>
  <c r="R50" i="60"/>
  <c r="R26" i="60"/>
  <c r="R22" i="60"/>
  <c r="R65" i="60"/>
  <c r="R62" i="60"/>
  <c r="R42" i="60"/>
  <c r="R41" i="60"/>
  <c r="R36" i="60"/>
  <c r="R32" i="60"/>
  <c r="X12" i="60"/>
  <c r="R51" i="60"/>
  <c r="R44" i="60"/>
  <c r="R43" i="60"/>
  <c r="R27" i="60"/>
  <c r="R23" i="60"/>
  <c r="R19" i="60"/>
  <c r="R45" i="60"/>
  <c r="R37" i="60"/>
  <c r="R33" i="60"/>
  <c r="R18" i="60"/>
  <c r="R16" i="60"/>
  <c r="R14" i="60"/>
  <c r="R53" i="60"/>
  <c r="R52" i="60"/>
  <c r="R29" i="60"/>
  <c r="R28" i="60"/>
  <c r="R24" i="60"/>
  <c r="R20" i="60"/>
  <c r="P16" i="60"/>
  <c r="R54" i="60"/>
  <c r="R47" i="60"/>
  <c r="R46" i="60"/>
  <c r="R38" i="60"/>
  <c r="R34" i="60"/>
  <c r="R30" i="60"/>
  <c r="V32" i="56"/>
  <c r="V36" i="56"/>
  <c r="V40" i="56"/>
  <c r="V52" i="56"/>
  <c r="V60" i="56"/>
  <c r="V68" i="56"/>
  <c r="J76" i="56"/>
  <c r="J78" i="56"/>
  <c r="R82" i="56"/>
  <c r="R85" i="56"/>
  <c r="V32" i="57"/>
  <c r="V36" i="57"/>
  <c r="V40" i="57"/>
  <c r="X43" i="57"/>
  <c r="Z43" i="57" s="1"/>
  <c r="V52" i="57"/>
  <c r="J56" i="57"/>
  <c r="L57" i="57"/>
  <c r="N57" i="57" s="1"/>
  <c r="J64" i="57"/>
  <c r="L65" i="57"/>
  <c r="V70" i="57"/>
  <c r="F72" i="58"/>
  <c r="F71" i="58"/>
  <c r="F64" i="58"/>
  <c r="F63" i="58"/>
  <c r="F56" i="58"/>
  <c r="F48" i="58"/>
  <c r="F47" i="58"/>
  <c r="F78" i="58"/>
  <c r="F52" i="58"/>
  <c r="F51" i="58"/>
  <c r="F66" i="58"/>
  <c r="F83" i="58"/>
  <c r="F80" i="58"/>
  <c r="F53" i="58"/>
  <c r="F55" i="58"/>
  <c r="F54" i="58"/>
  <c r="L14" i="58"/>
  <c r="L18" i="58"/>
  <c r="N18" i="58" s="1"/>
  <c r="J19" i="58"/>
  <c r="J33" i="58"/>
  <c r="F41" i="58"/>
  <c r="F42" i="58"/>
  <c r="F49" i="58"/>
  <c r="F62" i="58"/>
  <c r="R49" i="59"/>
  <c r="J33" i="63"/>
  <c r="T92" i="68"/>
  <c r="V35" i="68"/>
  <c r="V14" i="54"/>
  <c r="V16" i="54"/>
  <c r="V18" i="54"/>
  <c r="V20" i="54"/>
  <c r="F26" i="54"/>
  <c r="F28" i="54"/>
  <c r="F29" i="54"/>
  <c r="J14" i="55"/>
  <c r="J16" i="55"/>
  <c r="J18" i="55"/>
  <c r="J20" i="55"/>
  <c r="V24" i="55"/>
  <c r="X12" i="56"/>
  <c r="J15" i="56"/>
  <c r="J17" i="56"/>
  <c r="J19" i="56"/>
  <c r="J21" i="56"/>
  <c r="R22" i="56"/>
  <c r="J25" i="56"/>
  <c r="R26" i="56"/>
  <c r="J29" i="56"/>
  <c r="V41" i="56"/>
  <c r="J47" i="56"/>
  <c r="R50" i="56"/>
  <c r="R51" i="56"/>
  <c r="V53" i="56"/>
  <c r="V61" i="56"/>
  <c r="V69" i="56"/>
  <c r="R80" i="56"/>
  <c r="J19" i="57"/>
  <c r="J21" i="57"/>
  <c r="J25" i="57"/>
  <c r="J29" i="57"/>
  <c r="V41" i="57"/>
  <c r="V49" i="57"/>
  <c r="J55" i="57"/>
  <c r="J63" i="57"/>
  <c r="V69" i="57"/>
  <c r="J77" i="57"/>
  <c r="J80" i="57"/>
  <c r="J71" i="58"/>
  <c r="J49" i="58"/>
  <c r="J76" i="58"/>
  <c r="J74" i="58"/>
  <c r="J50" i="58"/>
  <c r="J59" i="58"/>
  <c r="J67" i="58"/>
  <c r="J53" i="58"/>
  <c r="J43" i="58"/>
  <c r="J68" i="58"/>
  <c r="J60" i="58"/>
  <c r="J54" i="58"/>
  <c r="J44" i="58"/>
  <c r="J70" i="58"/>
  <c r="J62" i="58"/>
  <c r="J46" i="58"/>
  <c r="F23" i="58"/>
  <c r="F27" i="58"/>
  <c r="J42" i="58"/>
  <c r="X58" i="58"/>
  <c r="Z58" i="58" s="1"/>
  <c r="F70" i="58"/>
  <c r="R19" i="59"/>
  <c r="R37" i="59"/>
  <c r="N19" i="61"/>
  <c r="Z46" i="61"/>
  <c r="Z92" i="63"/>
  <c r="J19" i="55"/>
  <c r="V25" i="55"/>
  <c r="V35" i="55"/>
  <c r="V37" i="55"/>
  <c r="Z12" i="56"/>
  <c r="J20" i="56"/>
  <c r="V22" i="56"/>
  <c r="V26" i="56"/>
  <c r="R31" i="56"/>
  <c r="J34" i="56"/>
  <c r="R35" i="56"/>
  <c r="J38" i="56"/>
  <c r="R39" i="56"/>
  <c r="J46" i="56"/>
  <c r="V50" i="56"/>
  <c r="J58" i="56"/>
  <c r="R59" i="56"/>
  <c r="J66" i="56"/>
  <c r="V80" i="56"/>
  <c r="V82" i="56"/>
  <c r="Z12" i="57"/>
  <c r="J20" i="57"/>
  <c r="V22" i="57"/>
  <c r="V26" i="57"/>
  <c r="J34" i="57"/>
  <c r="J38" i="57"/>
  <c r="J46" i="57"/>
  <c r="V50" i="57"/>
  <c r="J54" i="57"/>
  <c r="V58" i="57"/>
  <c r="V66" i="57"/>
  <c r="L12" i="58"/>
  <c r="J23" i="58"/>
  <c r="J27" i="58"/>
  <c r="F32" i="58"/>
  <c r="F36" i="58"/>
  <c r="F40" i="58"/>
  <c r="J41" i="58"/>
  <c r="F46" i="58"/>
  <c r="X54" i="58"/>
  <c r="Z54" i="58" s="1"/>
  <c r="J56" i="58"/>
  <c r="F67" i="58"/>
  <c r="R14" i="59"/>
  <c r="D58" i="60"/>
  <c r="V26" i="59"/>
  <c r="V50" i="59"/>
  <c r="L14" i="60"/>
  <c r="V49" i="60"/>
  <c r="H16" i="61"/>
  <c r="F19" i="61"/>
  <c r="F20" i="61"/>
  <c r="F24" i="61"/>
  <c r="F28" i="61"/>
  <c r="J29" i="61"/>
  <c r="V31" i="61"/>
  <c r="V35" i="61"/>
  <c r="V39" i="61"/>
  <c r="J47" i="61"/>
  <c r="V51" i="61"/>
  <c r="F55" i="61"/>
  <c r="F56" i="61"/>
  <c r="R62" i="61"/>
  <c r="F99" i="63"/>
  <c r="F88" i="63"/>
  <c r="F87" i="63"/>
  <c r="F76" i="63"/>
  <c r="F75" i="63"/>
  <c r="F65" i="63"/>
  <c r="F64" i="63"/>
  <c r="F53" i="63"/>
  <c r="F52" i="63"/>
  <c r="F37" i="63"/>
  <c r="F33" i="63"/>
  <c r="F106" i="63"/>
  <c r="F103" i="63"/>
  <c r="F72" i="63"/>
  <c r="F71" i="63"/>
  <c r="F44" i="63"/>
  <c r="F84" i="63"/>
  <c r="F80" i="63"/>
  <c r="F68" i="63"/>
  <c r="F48" i="63"/>
  <c r="F47" i="63"/>
  <c r="F96" i="63"/>
  <c r="F59" i="63"/>
  <c r="F58" i="63"/>
  <c r="F39" i="63"/>
  <c r="F35" i="63"/>
  <c r="F31" i="63"/>
  <c r="L14" i="63"/>
  <c r="V21" i="63"/>
  <c r="V25" i="63"/>
  <c r="F27" i="63"/>
  <c r="V28" i="63"/>
  <c r="V29" i="63"/>
  <c r="R34" i="63"/>
  <c r="F45" i="63"/>
  <c r="V46" i="63"/>
  <c r="R49" i="63"/>
  <c r="V50" i="63"/>
  <c r="V53" i="63"/>
  <c r="R60" i="63"/>
  <c r="V64" i="63"/>
  <c r="F66" i="63"/>
  <c r="R67" i="63"/>
  <c r="F74" i="63"/>
  <c r="R75" i="63"/>
  <c r="R78" i="63"/>
  <c r="F85" i="63"/>
  <c r="R86" i="63"/>
  <c r="F91" i="63"/>
  <c r="R92" i="63"/>
  <c r="X96" i="63"/>
  <c r="Z96" i="63" s="1"/>
  <c r="J28" i="68"/>
  <c r="X37" i="68"/>
  <c r="Z37" i="68" s="1"/>
  <c r="F33" i="59"/>
  <c r="F37" i="59"/>
  <c r="V48" i="59"/>
  <c r="F52" i="59"/>
  <c r="F53" i="59"/>
  <c r="V56" i="59"/>
  <c r="V64" i="59"/>
  <c r="F71" i="59"/>
  <c r="F32" i="60"/>
  <c r="F36" i="60"/>
  <c r="V47" i="60"/>
  <c r="L14" i="61"/>
  <c r="J19" i="61"/>
  <c r="V21" i="61"/>
  <c r="V25" i="61"/>
  <c r="R30" i="61"/>
  <c r="J33" i="61"/>
  <c r="R34" i="61"/>
  <c r="J37" i="61"/>
  <c r="R38" i="61"/>
  <c r="J45" i="61"/>
  <c r="V49" i="61"/>
  <c r="F54" i="61"/>
  <c r="J55" i="61"/>
  <c r="P16" i="63"/>
  <c r="R20" i="63"/>
  <c r="R24" i="63"/>
  <c r="F30" i="63"/>
  <c r="F38" i="63"/>
  <c r="N42" i="63"/>
  <c r="F51" i="63"/>
  <c r="R56" i="63"/>
  <c r="N62" i="63"/>
  <c r="V69" i="63"/>
  <c r="F82" i="63"/>
  <c r="V88" i="63"/>
  <c r="N65" i="72"/>
  <c r="J65" i="72"/>
  <c r="L14" i="59"/>
  <c r="V21" i="59"/>
  <c r="V25" i="59"/>
  <c r="V29" i="59"/>
  <c r="F41" i="59"/>
  <c r="F42" i="59"/>
  <c r="V45" i="59"/>
  <c r="F58" i="59"/>
  <c r="F67" i="59"/>
  <c r="F69" i="59"/>
  <c r="V28" i="60"/>
  <c r="F40" i="60"/>
  <c r="F41" i="60"/>
  <c r="V52" i="60"/>
  <c r="F23" i="61"/>
  <c r="F27" i="61"/>
  <c r="V30" i="61"/>
  <c r="V34" i="61"/>
  <c r="V38" i="61"/>
  <c r="F42" i="61"/>
  <c r="F43" i="61"/>
  <c r="J44" i="61"/>
  <c r="R47" i="61"/>
  <c r="R48" i="61"/>
  <c r="V50" i="61"/>
  <c r="J54" i="61"/>
  <c r="R58" i="61"/>
  <c r="R60" i="61"/>
  <c r="R14" i="63"/>
  <c r="R16" i="63"/>
  <c r="R18" i="63"/>
  <c r="Z56" i="63"/>
  <c r="R59" i="63"/>
  <c r="R74" i="63"/>
  <c r="J73" i="68"/>
  <c r="J63" i="68"/>
  <c r="J55" i="68"/>
  <c r="J51" i="68"/>
  <c r="J86" i="68"/>
  <c r="J74" i="68"/>
  <c r="J64" i="68"/>
  <c r="J46" i="68"/>
  <c r="J42" i="68"/>
  <c r="J88" i="68"/>
  <c r="J56" i="68"/>
  <c r="J52" i="68"/>
  <c r="J48" i="68"/>
  <c r="J38" i="68"/>
  <c r="J75" i="68"/>
  <c r="J43" i="68"/>
  <c r="J39" i="68"/>
  <c r="J37" i="68"/>
  <c r="J25" i="68"/>
  <c r="J90" i="68"/>
  <c r="J82" i="68"/>
  <c r="J76" i="68"/>
  <c r="J66" i="68"/>
  <c r="H35" i="68"/>
  <c r="J30" i="68"/>
  <c r="J26" i="68"/>
  <c r="J77" i="68"/>
  <c r="J67" i="68"/>
  <c r="J57" i="68"/>
  <c r="J53" i="68"/>
  <c r="J49" i="68"/>
  <c r="J94" i="68"/>
  <c r="J68" i="68"/>
  <c r="J58" i="68"/>
  <c r="J44" i="68"/>
  <c r="J40" i="68"/>
  <c r="J83" i="68"/>
  <c r="J69" i="68"/>
  <c r="J59" i="68"/>
  <c r="J31" i="68"/>
  <c r="J27" i="68"/>
  <c r="J84" i="68"/>
  <c r="J78" i="68"/>
  <c r="J70" i="68"/>
  <c r="J60" i="68"/>
  <c r="J54" i="68"/>
  <c r="J50" i="68"/>
  <c r="J32" i="68"/>
  <c r="N79" i="68"/>
  <c r="N49" i="69"/>
  <c r="L49" i="69"/>
  <c r="P16" i="61"/>
  <c r="R20" i="61"/>
  <c r="R24" i="61"/>
  <c r="R28" i="61"/>
  <c r="R29" i="61"/>
  <c r="V47" i="61"/>
  <c r="R56" i="61"/>
  <c r="R72" i="63"/>
  <c r="R93" i="63"/>
  <c r="R73" i="63"/>
  <c r="R58" i="63"/>
  <c r="R57" i="63"/>
  <c r="R96" i="63"/>
  <c r="R95" i="63"/>
  <c r="R85" i="63"/>
  <c r="R84" i="63"/>
  <c r="R80" i="63"/>
  <c r="R68" i="63"/>
  <c r="R48" i="63"/>
  <c r="R89" i="63"/>
  <c r="R88" i="63"/>
  <c r="R77" i="63"/>
  <c r="R76" i="63"/>
  <c r="R36" i="63"/>
  <c r="R32" i="63"/>
  <c r="R101" i="63"/>
  <c r="R64" i="63"/>
  <c r="R63" i="63"/>
  <c r="R52" i="63"/>
  <c r="R51" i="63"/>
  <c r="R43" i="63"/>
  <c r="R27" i="63"/>
  <c r="T16" i="63"/>
  <c r="R19" i="63"/>
  <c r="R33" i="63"/>
  <c r="R45" i="63"/>
  <c r="R55" i="63"/>
  <c r="F79" i="63"/>
  <c r="F90" i="63"/>
  <c r="F97" i="63"/>
  <c r="F101" i="63"/>
  <c r="X58" i="68"/>
  <c r="V58" i="68"/>
  <c r="N96" i="76"/>
  <c r="F32" i="59"/>
  <c r="F36" i="59"/>
  <c r="F40" i="59"/>
  <c r="V14" i="60"/>
  <c r="V16" i="60"/>
  <c r="V18" i="60"/>
  <c r="F31" i="60"/>
  <c r="F35" i="60"/>
  <c r="F39" i="60"/>
  <c r="F56" i="60"/>
  <c r="F58" i="60"/>
  <c r="N12" i="61"/>
  <c r="R14" i="61"/>
  <c r="R16" i="61"/>
  <c r="R18" i="61"/>
  <c r="V20" i="61"/>
  <c r="V24" i="61"/>
  <c r="V28" i="61"/>
  <c r="J32" i="61"/>
  <c r="R33" i="61"/>
  <c r="J36" i="61"/>
  <c r="R37" i="61"/>
  <c r="F40" i="61"/>
  <c r="F41" i="61"/>
  <c r="J42" i="61"/>
  <c r="R45" i="61"/>
  <c r="R46" i="61"/>
  <c r="V48" i="61"/>
  <c r="F52" i="61"/>
  <c r="F53" i="61"/>
  <c r="V56" i="61"/>
  <c r="V58" i="61"/>
  <c r="V60" i="61"/>
  <c r="F64" i="61"/>
  <c r="F67" i="61"/>
  <c r="V91" i="63"/>
  <c r="V83" i="63"/>
  <c r="V79" i="63"/>
  <c r="V67" i="63"/>
  <c r="V96" i="63"/>
  <c r="V84" i="63"/>
  <c r="V80" i="63"/>
  <c r="V68" i="63"/>
  <c r="V60" i="63"/>
  <c r="V48" i="63"/>
  <c r="V40" i="63"/>
  <c r="V99" i="63"/>
  <c r="V97" i="63"/>
  <c r="V87" i="63"/>
  <c r="V75" i="63"/>
  <c r="V59" i="63"/>
  <c r="V39" i="63"/>
  <c r="V35" i="63"/>
  <c r="V31" i="63"/>
  <c r="V106" i="63"/>
  <c r="V103" i="63"/>
  <c r="V101" i="63"/>
  <c r="V71" i="63"/>
  <c r="V63" i="63"/>
  <c r="V51" i="63"/>
  <c r="V43" i="63"/>
  <c r="V27" i="63"/>
  <c r="V90" i="63"/>
  <c r="V82" i="63"/>
  <c r="V78" i="63"/>
  <c r="V70" i="63"/>
  <c r="V66" i="63"/>
  <c r="V54" i="63"/>
  <c r="V14" i="63"/>
  <c r="V16" i="63"/>
  <c r="V18" i="63"/>
  <c r="R23" i="63"/>
  <c r="F29" i="63"/>
  <c r="F32" i="63"/>
  <c r="V33" i="63"/>
  <c r="L40" i="63"/>
  <c r="X42" i="63"/>
  <c r="Z45" i="63"/>
  <c r="N47" i="63"/>
  <c r="F50" i="63"/>
  <c r="V55" i="63"/>
  <c r="F61" i="63"/>
  <c r="R66" i="63"/>
  <c r="F70" i="63"/>
  <c r="V77" i="63"/>
  <c r="F81" i="63"/>
  <c r="N87" i="63"/>
  <c r="F93" i="63"/>
  <c r="V95" i="63"/>
  <c r="Z58" i="68"/>
  <c r="J62" i="68"/>
  <c r="J85" i="68"/>
  <c r="X30" i="69"/>
  <c r="D12" i="70"/>
  <c r="L14" i="70"/>
  <c r="X34" i="70"/>
  <c r="Z34" i="70" s="1"/>
  <c r="X18" i="60"/>
  <c r="Z18" i="60" s="1"/>
  <c r="T16" i="61"/>
  <c r="R19" i="61"/>
  <c r="V29" i="61"/>
  <c r="V33" i="61"/>
  <c r="V37" i="61"/>
  <c r="L42" i="61"/>
  <c r="N42" i="61" s="1"/>
  <c r="V45" i="61"/>
  <c r="X48" i="61"/>
  <c r="Z48" i="61" s="1"/>
  <c r="R54" i="61"/>
  <c r="R55" i="61"/>
  <c r="X58" i="61"/>
  <c r="X12" i="63"/>
  <c r="X14" i="63"/>
  <c r="X18" i="63"/>
  <c r="Z18" i="63" s="1"/>
  <c r="R30" i="63"/>
  <c r="R38" i="63"/>
  <c r="R42" i="63"/>
  <c r="N50" i="63"/>
  <c r="R62" i="63"/>
  <c r="R71" i="63"/>
  <c r="V76" i="63"/>
  <c r="X77" i="63"/>
  <c r="Z77" i="63" s="1"/>
  <c r="R82" i="63"/>
  <c r="V85" i="63"/>
  <c r="V14" i="61"/>
  <c r="V16" i="61"/>
  <c r="V18" i="61"/>
  <c r="R23" i="61"/>
  <c r="R27" i="61"/>
  <c r="R43" i="61"/>
  <c r="R44" i="61"/>
  <c r="V46" i="61"/>
  <c r="V54" i="61"/>
  <c r="R26" i="63"/>
  <c r="R35" i="63"/>
  <c r="R41" i="63"/>
  <c r="Z42" i="63"/>
  <c r="R44" i="63"/>
  <c r="X62" i="63"/>
  <c r="Z62" i="63" s="1"/>
  <c r="R65" i="63"/>
  <c r="R79" i="63"/>
  <c r="R97" i="63"/>
  <c r="D12" i="68"/>
  <c r="V14" i="59"/>
  <c r="V16" i="59"/>
  <c r="V18" i="59"/>
  <c r="F30" i="59"/>
  <c r="F31" i="59"/>
  <c r="F35" i="59"/>
  <c r="F39" i="59"/>
  <c r="V42" i="59"/>
  <c r="F46" i="59"/>
  <c r="F47" i="59"/>
  <c r="F55" i="59"/>
  <c r="V58" i="59"/>
  <c r="F63" i="59"/>
  <c r="F29" i="60"/>
  <c r="F30" i="60"/>
  <c r="F34" i="60"/>
  <c r="F38" i="60"/>
  <c r="V41" i="60"/>
  <c r="F46" i="60"/>
  <c r="F53" i="60"/>
  <c r="F54" i="60"/>
  <c r="X12" i="61"/>
  <c r="V19" i="61"/>
  <c r="V23" i="61"/>
  <c r="V27" i="61"/>
  <c r="J31" i="61"/>
  <c r="R32" i="61"/>
  <c r="J35" i="61"/>
  <c r="R36" i="61"/>
  <c r="J39" i="61"/>
  <c r="V43" i="61"/>
  <c r="J51" i="61"/>
  <c r="V55" i="61"/>
  <c r="F62" i="61"/>
  <c r="R22" i="63"/>
  <c r="V26" i="63"/>
  <c r="F34" i="63"/>
  <c r="V41" i="63"/>
  <c r="V42" i="63"/>
  <c r="V44" i="63"/>
  <c r="F46" i="63"/>
  <c r="X54" i="63"/>
  <c r="Z54" i="63" s="1"/>
  <c r="F60" i="63"/>
  <c r="R61" i="63"/>
  <c r="V62" i="63"/>
  <c r="L64" i="63"/>
  <c r="N64" i="63" s="1"/>
  <c r="V65" i="63"/>
  <c r="V73" i="63"/>
  <c r="L75" i="63"/>
  <c r="F78" i="63"/>
  <c r="R87" i="63"/>
  <c r="R90" i="63"/>
  <c r="F92" i="63"/>
  <c r="V93" i="63"/>
  <c r="R106" i="63"/>
  <c r="L13" i="68"/>
  <c r="J61" i="68"/>
  <c r="P12" i="69"/>
  <c r="X13" i="69"/>
  <c r="Z13" i="69" s="1"/>
  <c r="V27" i="59"/>
  <c r="V43" i="59"/>
  <c r="V51" i="59"/>
  <c r="V59" i="59"/>
  <c r="F16" i="60"/>
  <c r="V42" i="60"/>
  <c r="V50" i="60"/>
  <c r="V60" i="60"/>
  <c r="V62" i="60"/>
  <c r="Z12" i="61"/>
  <c r="F21" i="61"/>
  <c r="F25" i="61"/>
  <c r="V32" i="61"/>
  <c r="V36" i="61"/>
  <c r="R41" i="61"/>
  <c r="R42" i="61"/>
  <c r="V44" i="61"/>
  <c r="F48" i="61"/>
  <c r="F49" i="61"/>
  <c r="J50" i="61"/>
  <c r="R53" i="61"/>
  <c r="F58" i="61"/>
  <c r="J62" i="61"/>
  <c r="X29" i="63"/>
  <c r="Z29" i="63" s="1"/>
  <c r="V32" i="63"/>
  <c r="R47" i="63"/>
  <c r="F49" i="63"/>
  <c r="R54" i="63"/>
  <c r="V58" i="63"/>
  <c r="V61" i="63"/>
  <c r="F67" i="63"/>
  <c r="R70" i="63"/>
  <c r="N75" i="63"/>
  <c r="R81" i="63"/>
  <c r="F86" i="63"/>
  <c r="N92" i="63"/>
  <c r="X25" i="68"/>
  <c r="Z38" i="68"/>
  <c r="J41" i="68"/>
  <c r="J45" i="68"/>
  <c r="J65" i="68"/>
  <c r="J80" i="68"/>
  <c r="L84" i="68"/>
  <c r="N84" i="68" s="1"/>
  <c r="H63" i="69"/>
  <c r="R22" i="61"/>
  <c r="R26" i="61"/>
  <c r="V41" i="61"/>
  <c r="V53" i="61"/>
  <c r="R29" i="63"/>
  <c r="R37" i="63"/>
  <c r="R40" i="63"/>
  <c r="R50" i="63"/>
  <c r="Z25" i="68"/>
  <c r="N21" i="69"/>
  <c r="L21" i="69"/>
  <c r="F54" i="59"/>
  <c r="V57" i="59"/>
  <c r="F61" i="59"/>
  <c r="F62" i="59"/>
  <c r="V65" i="59"/>
  <c r="V67" i="59"/>
  <c r="F73" i="59"/>
  <c r="V22" i="61"/>
  <c r="V26" i="61"/>
  <c r="R31" i="61"/>
  <c r="R35" i="61"/>
  <c r="R39" i="61"/>
  <c r="R40" i="61"/>
  <c r="R51" i="61"/>
  <c r="R52" i="61"/>
  <c r="J58" i="61"/>
  <c r="R64" i="61"/>
  <c r="R21" i="63"/>
  <c r="R25" i="63"/>
  <c r="R28" i="63"/>
  <c r="L45" i="63"/>
  <c r="R46" i="63"/>
  <c r="Z50" i="63"/>
  <c r="X50" i="63"/>
  <c r="R53" i="63"/>
  <c r="L56" i="63"/>
  <c r="N56" i="63" s="1"/>
  <c r="X75" i="63"/>
  <c r="Z75" i="63" s="1"/>
  <c r="F95" i="63"/>
  <c r="V25" i="68"/>
  <c r="L60" i="68"/>
  <c r="Z76" i="68"/>
  <c r="J82" i="70"/>
  <c r="N96" i="70"/>
  <c r="H70" i="72"/>
  <c r="L65" i="72"/>
  <c r="V38" i="68"/>
  <c r="V42" i="68"/>
  <c r="V46" i="68"/>
  <c r="V74" i="68"/>
  <c r="V86" i="68"/>
  <c r="J65" i="69"/>
  <c r="J70" i="69"/>
  <c r="J67" i="69"/>
  <c r="J55" i="69"/>
  <c r="J47" i="69"/>
  <c r="J29" i="69"/>
  <c r="J25" i="69"/>
  <c r="J58" i="69"/>
  <c r="J40" i="69"/>
  <c r="J36" i="69"/>
  <c r="J32" i="69"/>
  <c r="J18" i="69"/>
  <c r="J21" i="69"/>
  <c r="V29" i="69"/>
  <c r="V30" i="69"/>
  <c r="V33" i="69"/>
  <c r="J53" i="69"/>
  <c r="V58" i="69"/>
  <c r="P12" i="70"/>
  <c r="V55" i="70"/>
  <c r="V71" i="70"/>
  <c r="F23" i="72"/>
  <c r="J67" i="74"/>
  <c r="Z78" i="74"/>
  <c r="J87" i="74"/>
  <c r="J112" i="74"/>
  <c r="L98" i="76"/>
  <c r="N98" i="76" s="1"/>
  <c r="D96" i="76"/>
  <c r="L96" i="76" s="1"/>
  <c r="V47" i="68"/>
  <c r="V51" i="68"/>
  <c r="V55" i="68"/>
  <c r="V63" i="68"/>
  <c r="V87" i="68"/>
  <c r="J28" i="69"/>
  <c r="J35" i="69"/>
  <c r="J38" i="69"/>
  <c r="J43" i="69"/>
  <c r="J48" i="69"/>
  <c r="J61" i="69"/>
  <c r="V97" i="70"/>
  <c r="V89" i="70"/>
  <c r="V77" i="70"/>
  <c r="V53" i="70"/>
  <c r="V49" i="70"/>
  <c r="V45" i="70"/>
  <c r="V41" i="70"/>
  <c r="V37" i="70"/>
  <c r="V106" i="70"/>
  <c r="V104" i="70"/>
  <c r="V88" i="70"/>
  <c r="V80" i="70"/>
  <c r="V72" i="70"/>
  <c r="V68" i="70"/>
  <c r="T51" i="70"/>
  <c r="V51" i="70" s="1"/>
  <c r="V107" i="70"/>
  <c r="V91" i="70"/>
  <c r="V79" i="70"/>
  <c r="V63" i="70"/>
  <c r="V108" i="70"/>
  <c r="V98" i="70"/>
  <c r="V90" i="70"/>
  <c r="V82" i="70"/>
  <c r="V46" i="70"/>
  <c r="V42" i="70"/>
  <c r="V38" i="70"/>
  <c r="V34" i="70"/>
  <c r="V109" i="70"/>
  <c r="V81" i="70"/>
  <c r="V73" i="70"/>
  <c r="V100" i="70"/>
  <c r="V92" i="70"/>
  <c r="V84" i="70"/>
  <c r="V99" i="70"/>
  <c r="V83" i="70"/>
  <c r="V47" i="70"/>
  <c r="V43" i="70"/>
  <c r="V39" i="70"/>
  <c r="V35" i="70"/>
  <c r="V94" i="70"/>
  <c r="V86" i="70"/>
  <c r="V74" i="70"/>
  <c r="V70" i="70"/>
  <c r="V66" i="70"/>
  <c r="V113" i="70"/>
  <c r="V101" i="70"/>
  <c r="V93" i="70"/>
  <c r="V85" i="70"/>
  <c r="V61" i="70"/>
  <c r="V57" i="70"/>
  <c r="V102" i="70"/>
  <c r="V64" i="70"/>
  <c r="V75" i="70"/>
  <c r="Z96" i="70"/>
  <c r="N21" i="72"/>
  <c r="P12" i="74"/>
  <c r="X15" i="74"/>
  <c r="N52" i="74"/>
  <c r="X78" i="74"/>
  <c r="N110" i="74"/>
  <c r="X43" i="72"/>
  <c r="Z43" i="72" s="1"/>
  <c r="V73" i="68"/>
  <c r="V49" i="69"/>
  <c r="V62" i="68"/>
  <c r="L67" i="68"/>
  <c r="N67" i="68" s="1"/>
  <c r="V70" i="68"/>
  <c r="X73" i="68"/>
  <c r="Z73" i="68" s="1"/>
  <c r="V78" i="68"/>
  <c r="V57" i="69"/>
  <c r="V41" i="69"/>
  <c r="V44" i="69"/>
  <c r="V28" i="69"/>
  <c r="V24" i="69"/>
  <c r="V32" i="69"/>
  <c r="J34" i="69"/>
  <c r="V48" i="69"/>
  <c r="X49" i="69"/>
  <c r="J51" i="69"/>
  <c r="L52" i="69"/>
  <c r="J59" i="69"/>
  <c r="P12" i="72"/>
  <c r="X13" i="72"/>
  <c r="Z13" i="72" s="1"/>
  <c r="F36" i="72"/>
  <c r="F40" i="72"/>
  <c r="V43" i="72"/>
  <c r="P12" i="68"/>
  <c r="V27" i="68"/>
  <c r="V31" i="68"/>
  <c r="V59" i="68"/>
  <c r="X62" i="68"/>
  <c r="Z62" i="68" s="1"/>
  <c r="V71" i="68"/>
  <c r="L76" i="68"/>
  <c r="N76" i="68" s="1"/>
  <c r="V79" i="68"/>
  <c r="V83" i="68"/>
  <c r="L90" i="68"/>
  <c r="J15" i="69"/>
  <c r="T18" i="69"/>
  <c r="V20" i="69"/>
  <c r="V35" i="69"/>
  <c r="V38" i="69"/>
  <c r="J41" i="69"/>
  <c r="X52" i="69"/>
  <c r="V56" i="69"/>
  <c r="N65" i="70"/>
  <c r="J64" i="74"/>
  <c r="J101" i="74"/>
  <c r="J130" i="74"/>
  <c r="Z85" i="76"/>
  <c r="V40" i="68"/>
  <c r="V44" i="68"/>
  <c r="V60" i="68"/>
  <c r="V68" i="68"/>
  <c r="V84" i="68"/>
  <c r="V94" i="68"/>
  <c r="V18" i="69"/>
  <c r="V21" i="69"/>
  <c r="J37" i="69"/>
  <c r="V42" i="69"/>
  <c r="J46" i="69"/>
  <c r="X47" i="69"/>
  <c r="V40" i="70"/>
  <c r="V48" i="70"/>
  <c r="L91" i="70"/>
  <c r="N91" i="70" s="1"/>
  <c r="L22" i="72"/>
  <c r="J117" i="74"/>
  <c r="J140" i="74"/>
  <c r="J53" i="80"/>
  <c r="J41" i="80"/>
  <c r="J37" i="80"/>
  <c r="J33" i="80"/>
  <c r="J70" i="80"/>
  <c r="J68" i="80"/>
  <c r="J60" i="80"/>
  <c r="J42" i="80"/>
  <c r="J28" i="80"/>
  <c r="J24" i="80"/>
  <c r="J43" i="80"/>
  <c r="J72" i="80"/>
  <c r="J54" i="80"/>
  <c r="J44" i="80"/>
  <c r="J38" i="80"/>
  <c r="J34" i="80"/>
  <c r="J61" i="80"/>
  <c r="J55" i="80"/>
  <c r="J45" i="80"/>
  <c r="J29" i="80"/>
  <c r="J25" i="80"/>
  <c r="J15" i="80"/>
  <c r="J77" i="80"/>
  <c r="J74" i="80"/>
  <c r="J56" i="80"/>
  <c r="J46" i="80"/>
  <c r="J16" i="80"/>
  <c r="J47" i="80"/>
  <c r="J39" i="80"/>
  <c r="J35" i="80"/>
  <c r="J62" i="80"/>
  <c r="J48" i="80"/>
  <c r="J30" i="80"/>
  <c r="J26" i="80"/>
  <c r="N12" i="80"/>
  <c r="J63" i="80"/>
  <c r="J57" i="80"/>
  <c r="J49" i="80"/>
  <c r="J31" i="80"/>
  <c r="J17" i="80"/>
  <c r="J64" i="80"/>
  <c r="J66" i="80"/>
  <c r="J52" i="80"/>
  <c r="H19" i="80"/>
  <c r="J32" i="80"/>
  <c r="J65" i="80"/>
  <c r="J50" i="80"/>
  <c r="J36" i="80"/>
  <c r="J59" i="80"/>
  <c r="J40" i="80"/>
  <c r="J23" i="80"/>
  <c r="J21" i="80"/>
  <c r="J27" i="80"/>
  <c r="J51" i="80"/>
  <c r="J58" i="80"/>
  <c r="J22" i="80"/>
  <c r="X15" i="69"/>
  <c r="V52" i="69"/>
  <c r="Z15" i="72"/>
  <c r="N22" i="72"/>
  <c r="X60" i="72"/>
  <c r="Z60" i="72" s="1"/>
  <c r="L66" i="75"/>
  <c r="N66" i="75" s="1"/>
  <c r="J33" i="69"/>
  <c r="V37" i="69"/>
  <c r="V47" i="69"/>
  <c r="J57" i="69"/>
  <c r="Z65" i="70"/>
  <c r="Z76" i="70"/>
  <c r="L82" i="70"/>
  <c r="N82" i="70" s="1"/>
  <c r="F41" i="72"/>
  <c r="F37" i="72"/>
  <c r="F33" i="72"/>
  <c r="F32" i="72"/>
  <c r="D19" i="72"/>
  <c r="F52" i="72"/>
  <c r="F51" i="72"/>
  <c r="F28" i="72"/>
  <c r="F24" i="72"/>
  <c r="F70" i="72"/>
  <c r="F68" i="72"/>
  <c r="F59" i="72"/>
  <c r="F72" i="72"/>
  <c r="F42" i="72"/>
  <c r="F38" i="72"/>
  <c r="F34" i="72"/>
  <c r="F61" i="72"/>
  <c r="F60" i="72"/>
  <c r="F53" i="72"/>
  <c r="F29" i="72"/>
  <c r="F25" i="72"/>
  <c r="F44" i="72"/>
  <c r="F43" i="72"/>
  <c r="F16" i="72"/>
  <c r="F15" i="72"/>
  <c r="F77" i="72"/>
  <c r="F74" i="72"/>
  <c r="F55" i="72"/>
  <c r="F54" i="72"/>
  <c r="F39" i="72"/>
  <c r="F35" i="72"/>
  <c r="F62" i="72"/>
  <c r="F46" i="72"/>
  <c r="F45" i="72"/>
  <c r="F30" i="72"/>
  <c r="F26" i="72"/>
  <c r="L12" i="72"/>
  <c r="N12" i="72" s="1"/>
  <c r="F57" i="72"/>
  <c r="F56" i="72"/>
  <c r="F17" i="72"/>
  <c r="F66" i="72"/>
  <c r="F65" i="72"/>
  <c r="F58" i="72"/>
  <c r="F50" i="72"/>
  <c r="F49" i="72"/>
  <c r="F21" i="72"/>
  <c r="F19" i="72"/>
  <c r="V15" i="72"/>
  <c r="F27" i="72"/>
  <c r="F63" i="72"/>
  <c r="J149" i="74"/>
  <c r="J137" i="74"/>
  <c r="J128" i="74"/>
  <c r="J122" i="74"/>
  <c r="J100" i="74"/>
  <c r="J86" i="74"/>
  <c r="J82" i="74"/>
  <c r="J52" i="74"/>
  <c r="J144" i="74"/>
  <c r="J115" i="74"/>
  <c r="J105" i="74"/>
  <c r="J97" i="74"/>
  <c r="J93" i="74"/>
  <c r="J79" i="74"/>
  <c r="J142" i="74"/>
  <c r="J118" i="74"/>
  <c r="J108" i="74"/>
  <c r="J68" i="74"/>
  <c r="J127" i="74"/>
  <c r="J113" i="74"/>
  <c r="J103" i="74"/>
  <c r="J98" i="74"/>
  <c r="J88" i="74"/>
  <c r="J85" i="74"/>
  <c r="H76" i="74"/>
  <c r="J76" i="74" s="1"/>
  <c r="J65" i="74"/>
  <c r="J58" i="74"/>
  <c r="J138" i="74"/>
  <c r="J134" i="74"/>
  <c r="J131" i="74"/>
  <c r="J119" i="74"/>
  <c r="J109" i="74"/>
  <c r="J78" i="74"/>
  <c r="J72" i="74"/>
  <c r="J143" i="74"/>
  <c r="J124" i="74"/>
  <c r="J114" i="74"/>
  <c r="J104" i="74"/>
  <c r="J95" i="74"/>
  <c r="J92" i="74"/>
  <c r="J89" i="74"/>
  <c r="J69" i="74"/>
  <c r="J62" i="74"/>
  <c r="J55" i="74"/>
  <c r="J120" i="74"/>
  <c r="J139" i="74"/>
  <c r="J129" i="74"/>
  <c r="J125" i="74"/>
  <c r="J121" i="74"/>
  <c r="J110" i="74"/>
  <c r="J83" i="74"/>
  <c r="J80" i="74"/>
  <c r="J73" i="74"/>
  <c r="J66" i="74"/>
  <c r="J59" i="74"/>
  <c r="J135" i="74"/>
  <c r="J132" i="74"/>
  <c r="J99" i="74"/>
  <c r="J96" i="74"/>
  <c r="J90" i="74"/>
  <c r="J56" i="74"/>
  <c r="J116" i="74"/>
  <c r="J111" i="74"/>
  <c r="J106" i="74"/>
  <c r="J70" i="74"/>
  <c r="J63" i="74"/>
  <c r="J53" i="74"/>
  <c r="J136" i="74"/>
  <c r="J126" i="74"/>
  <c r="J60" i="74"/>
  <c r="J123" i="74"/>
  <c r="J102" i="74"/>
  <c r="J91" i="74"/>
  <c r="J71" i="74"/>
  <c r="J61" i="74"/>
  <c r="J54" i="74"/>
  <c r="Z119" i="74"/>
  <c r="V25" i="72"/>
  <c r="V29" i="72"/>
  <c r="V45" i="72"/>
  <c r="V53" i="72"/>
  <c r="V61" i="72"/>
  <c r="D12" i="74"/>
  <c r="V52" i="74"/>
  <c r="V55" i="74"/>
  <c r="V69" i="74"/>
  <c r="V92" i="74"/>
  <c r="V95" i="74"/>
  <c r="V110" i="74"/>
  <c r="N113" i="74"/>
  <c r="V124" i="74"/>
  <c r="V131" i="74"/>
  <c r="V143" i="74"/>
  <c r="X15" i="75"/>
  <c r="P12" i="75"/>
  <c r="F35" i="75"/>
  <c r="F39" i="75"/>
  <c r="F48" i="75"/>
  <c r="F59" i="75"/>
  <c r="X77" i="75"/>
  <c r="Z77" i="75" s="1"/>
  <c r="X85" i="76"/>
  <c r="R74" i="79"/>
  <c r="R66" i="79"/>
  <c r="R51" i="79"/>
  <c r="R50" i="79"/>
  <c r="R42" i="79"/>
  <c r="R76" i="79"/>
  <c r="R61" i="79"/>
  <c r="R60" i="79"/>
  <c r="R68" i="79"/>
  <c r="R67" i="79"/>
  <c r="R80" i="79"/>
  <c r="R62" i="79"/>
  <c r="R55" i="79"/>
  <c r="R54" i="79"/>
  <c r="R69" i="79"/>
  <c r="R56" i="79"/>
  <c r="R64" i="79"/>
  <c r="R63" i="79"/>
  <c r="R71" i="79"/>
  <c r="R70" i="79"/>
  <c r="R59" i="79"/>
  <c r="R43" i="79"/>
  <c r="R58" i="79"/>
  <c r="R48" i="79"/>
  <c r="R40" i="79"/>
  <c r="R36" i="79"/>
  <c r="R17" i="79"/>
  <c r="R31" i="79"/>
  <c r="R27" i="79"/>
  <c r="R44" i="79"/>
  <c r="R18" i="79"/>
  <c r="R49" i="79"/>
  <c r="R45" i="79"/>
  <c r="R37" i="79"/>
  <c r="R52" i="79"/>
  <c r="R41" i="79"/>
  <c r="R32" i="79"/>
  <c r="R28" i="79"/>
  <c r="R65" i="79"/>
  <c r="R24" i="79"/>
  <c r="R19" i="79"/>
  <c r="R72" i="79"/>
  <c r="R46" i="79"/>
  <c r="R38" i="79"/>
  <c r="R23" i="79"/>
  <c r="X12" i="79"/>
  <c r="Z12" i="79" s="1"/>
  <c r="R57" i="79"/>
  <c r="R47" i="79"/>
  <c r="R34" i="79"/>
  <c r="R33" i="79"/>
  <c r="R29" i="79"/>
  <c r="R25" i="79"/>
  <c r="P21" i="79"/>
  <c r="R21" i="79" s="1"/>
  <c r="R73" i="79"/>
  <c r="R30" i="79"/>
  <c r="R26" i="79"/>
  <c r="N58" i="80"/>
  <c r="L58" i="80"/>
  <c r="J69" i="70"/>
  <c r="J73" i="70"/>
  <c r="J81" i="70"/>
  <c r="J91" i="70"/>
  <c r="J108" i="70"/>
  <c r="J22" i="72"/>
  <c r="V24" i="72"/>
  <c r="V28" i="72"/>
  <c r="J36" i="72"/>
  <c r="J40" i="72"/>
  <c r="J48" i="72"/>
  <c r="V52" i="72"/>
  <c r="V60" i="72"/>
  <c r="J64" i="72"/>
  <c r="V68" i="74"/>
  <c r="T76" i="74"/>
  <c r="V76" i="74" s="1"/>
  <c r="V123" i="74"/>
  <c r="Z39" i="75"/>
  <c r="V46" i="75"/>
  <c r="F71" i="75"/>
  <c r="P12" i="76"/>
  <c r="X13" i="76"/>
  <c r="Z13" i="76" s="1"/>
  <c r="F42" i="76"/>
  <c r="X93" i="76"/>
  <c r="H23" i="82"/>
  <c r="L18" i="82"/>
  <c r="N18" i="82" s="1"/>
  <c r="J18" i="82"/>
  <c r="J90" i="70"/>
  <c r="J98" i="70"/>
  <c r="J106" i="70"/>
  <c r="J107" i="70"/>
  <c r="V33" i="72"/>
  <c r="V37" i="72"/>
  <c r="V41" i="72"/>
  <c r="V61" i="74"/>
  <c r="V71" i="74"/>
  <c r="V91" i="74"/>
  <c r="V94" i="74"/>
  <c r="V107" i="74"/>
  <c r="V112" i="74"/>
  <c r="V113" i="74"/>
  <c r="J74" i="75"/>
  <c r="J68" i="75"/>
  <c r="J60" i="75"/>
  <c r="J50" i="75"/>
  <c r="J36" i="75"/>
  <c r="J32" i="75"/>
  <c r="J75" i="75"/>
  <c r="J61" i="75"/>
  <c r="J51" i="75"/>
  <c r="J62" i="75"/>
  <c r="J52" i="75"/>
  <c r="J46" i="75"/>
  <c r="J42" i="75"/>
  <c r="J78" i="75"/>
  <c r="J77" i="75"/>
  <c r="J69" i="75"/>
  <c r="J53" i="75"/>
  <c r="J37" i="75"/>
  <c r="J33" i="75"/>
  <c r="J54" i="75"/>
  <c r="J63" i="75"/>
  <c r="J55" i="75"/>
  <c r="J47" i="75"/>
  <c r="J43" i="75"/>
  <c r="J29" i="75"/>
  <c r="J82" i="75"/>
  <c r="J70" i="75"/>
  <c r="J64" i="75"/>
  <c r="J56" i="75"/>
  <c r="J38" i="75"/>
  <c r="J34" i="75"/>
  <c r="J30" i="75"/>
  <c r="J65" i="75"/>
  <c r="J57" i="75"/>
  <c r="J39" i="75"/>
  <c r="J66" i="75"/>
  <c r="J58" i="75"/>
  <c r="J48" i="75"/>
  <c r="J44" i="75"/>
  <c r="J40" i="75"/>
  <c r="J73" i="75"/>
  <c r="J49" i="75"/>
  <c r="J45" i="75"/>
  <c r="J41" i="75"/>
  <c r="D26" i="75"/>
  <c r="F31" i="75"/>
  <c r="J71" i="75"/>
  <c r="Z44" i="80"/>
  <c r="X44" i="80"/>
  <c r="J59" i="70"/>
  <c r="J63" i="70"/>
  <c r="J79" i="70"/>
  <c r="J89" i="70"/>
  <c r="V50" i="72"/>
  <c r="J56" i="72"/>
  <c r="V58" i="72"/>
  <c r="V66" i="72"/>
  <c r="V68" i="72"/>
  <c r="V133" i="74"/>
  <c r="V129" i="74"/>
  <c r="V144" i="74"/>
  <c r="V134" i="74"/>
  <c r="V130" i="74"/>
  <c r="V114" i="74"/>
  <c r="V106" i="74"/>
  <c r="V78" i="74"/>
  <c r="V74" i="74"/>
  <c r="V70" i="74"/>
  <c r="V66" i="74"/>
  <c r="V62" i="74"/>
  <c r="V58" i="74"/>
  <c r="V54" i="74"/>
  <c r="V149" i="74"/>
  <c r="V137" i="74"/>
  <c r="V121" i="74"/>
  <c r="V109" i="74"/>
  <c r="V85" i="74"/>
  <c r="V81" i="74"/>
  <c r="V64" i="74"/>
  <c r="V87" i="74"/>
  <c r="V97" i="74"/>
  <c r="V101" i="74"/>
  <c r="V102" i="74"/>
  <c r="V108" i="74"/>
  <c r="V140" i="74"/>
  <c r="L12" i="75"/>
  <c r="N12" i="75" s="1"/>
  <c r="H26" i="75"/>
  <c r="J26" i="75" s="1"/>
  <c r="J31" i="75"/>
  <c r="F40" i="75"/>
  <c r="X52" i="75"/>
  <c r="Z52" i="75" s="1"/>
  <c r="F65" i="76"/>
  <c r="F69" i="76"/>
  <c r="Z72" i="76"/>
  <c r="V93" i="76"/>
  <c r="J104" i="70"/>
  <c r="V23" i="72"/>
  <c r="V27" i="72"/>
  <c r="V31" i="72"/>
  <c r="V51" i="72"/>
  <c r="V57" i="74"/>
  <c r="V67" i="74"/>
  <c r="V84" i="74"/>
  <c r="X108" i="74"/>
  <c r="Z108" i="74" s="1"/>
  <c r="L115" i="74"/>
  <c r="N115" i="74" s="1"/>
  <c r="V126" i="74"/>
  <c r="V145" i="74"/>
  <c r="V64" i="75"/>
  <c r="V56" i="75"/>
  <c r="V28" i="75"/>
  <c r="V24" i="75"/>
  <c r="V63" i="75"/>
  <c r="V55" i="75"/>
  <c r="V47" i="75"/>
  <c r="V43" i="75"/>
  <c r="V39" i="75"/>
  <c r="T26" i="75"/>
  <c r="V82" i="75"/>
  <c r="V70" i="75"/>
  <c r="V66" i="75"/>
  <c r="V58" i="75"/>
  <c r="V65" i="75"/>
  <c r="V57" i="75"/>
  <c r="V72" i="75"/>
  <c r="V48" i="75"/>
  <c r="V44" i="75"/>
  <c r="V40" i="75"/>
  <c r="V71" i="75"/>
  <c r="V67" i="75"/>
  <c r="V59" i="75"/>
  <c r="V35" i="75"/>
  <c r="V31" i="75"/>
  <c r="V74" i="75"/>
  <c r="V50" i="75"/>
  <c r="V73" i="75"/>
  <c r="V61" i="75"/>
  <c r="V49" i="75"/>
  <c r="V45" i="75"/>
  <c r="V41" i="75"/>
  <c r="V68" i="75"/>
  <c r="V60" i="75"/>
  <c r="V52" i="75"/>
  <c r="V36" i="75"/>
  <c r="V32" i="75"/>
  <c r="V69" i="75"/>
  <c r="V53" i="75"/>
  <c r="V37" i="75"/>
  <c r="V33" i="75"/>
  <c r="V29" i="75"/>
  <c r="F67" i="75"/>
  <c r="V75" i="75"/>
  <c r="N59" i="76"/>
  <c r="F61" i="76"/>
  <c r="N17" i="79"/>
  <c r="Z34" i="79"/>
  <c r="N78" i="83"/>
  <c r="L85" i="84"/>
  <c r="N85" i="84" s="1"/>
  <c r="J97" i="70"/>
  <c r="J103" i="70"/>
  <c r="T19" i="72"/>
  <c r="V32" i="72"/>
  <c r="V36" i="72"/>
  <c r="V40" i="72"/>
  <c r="V48" i="72"/>
  <c r="V64" i="72"/>
  <c r="V60" i="74"/>
  <c r="N89" i="74"/>
  <c r="V117" i="74"/>
  <c r="V122" i="74"/>
  <c r="L125" i="74"/>
  <c r="J67" i="75"/>
  <c r="Z76" i="76"/>
  <c r="Z104" i="84"/>
  <c r="J58" i="70"/>
  <c r="J62" i="70"/>
  <c r="J76" i="70"/>
  <c r="J96" i="70"/>
  <c r="J102" i="70"/>
  <c r="J15" i="72"/>
  <c r="V17" i="72"/>
  <c r="V19" i="72"/>
  <c r="V21" i="72"/>
  <c r="J25" i="72"/>
  <c r="J29" i="72"/>
  <c r="J43" i="72"/>
  <c r="V49" i="72"/>
  <c r="J53" i="72"/>
  <c r="V57" i="72"/>
  <c r="V65" i="72"/>
  <c r="V53" i="74"/>
  <c r="V63" i="74"/>
  <c r="V90" i="74"/>
  <c r="V93" i="74"/>
  <c r="V111" i="74"/>
  <c r="V116" i="74"/>
  <c r="X125" i="74"/>
  <c r="Z125" i="74" s="1"/>
  <c r="V135" i="74"/>
  <c r="Z136" i="74"/>
  <c r="L58" i="75"/>
  <c r="N58" i="75" s="1"/>
  <c r="V62" i="75"/>
  <c r="H104" i="76"/>
  <c r="V86" i="83"/>
  <c r="V84" i="83"/>
  <c r="V76" i="83"/>
  <c r="V72" i="83"/>
  <c r="V64" i="83"/>
  <c r="V56" i="83"/>
  <c r="V48" i="83"/>
  <c r="V40" i="83"/>
  <c r="V36" i="83"/>
  <c r="V71" i="83"/>
  <c r="V59" i="83"/>
  <c r="V47" i="83"/>
  <c r="V31" i="83"/>
  <c r="V27" i="83"/>
  <c r="V78" i="83"/>
  <c r="V66" i="83"/>
  <c r="V58" i="83"/>
  <c r="V50" i="83"/>
  <c r="V18" i="83"/>
  <c r="V77" i="83"/>
  <c r="V73" i="83"/>
  <c r="V65" i="83"/>
  <c r="V61" i="83"/>
  <c r="V49" i="83"/>
  <c r="V41" i="83"/>
  <c r="V37" i="83"/>
  <c r="V33" i="83"/>
  <c r="V90" i="83"/>
  <c r="V60" i="83"/>
  <c r="V32" i="83"/>
  <c r="V28" i="83"/>
  <c r="V24" i="83"/>
  <c r="V79" i="83"/>
  <c r="V67" i="83"/>
  <c r="V51" i="83"/>
  <c r="V23" i="83"/>
  <c r="V19" i="83"/>
  <c r="V74" i="83"/>
  <c r="V62" i="83"/>
  <c r="V42" i="83"/>
  <c r="V38" i="83"/>
  <c r="V34" i="83"/>
  <c r="T21" i="83"/>
  <c r="V81" i="83"/>
  <c r="V53" i="83"/>
  <c r="V29" i="83"/>
  <c r="V25" i="83"/>
  <c r="V80" i="83"/>
  <c r="V68" i="83"/>
  <c r="V52" i="83"/>
  <c r="V44" i="83"/>
  <c r="V16" i="83"/>
  <c r="V83" i="83"/>
  <c r="V75" i="83"/>
  <c r="V63" i="83"/>
  <c r="V55" i="83"/>
  <c r="V43" i="83"/>
  <c r="V39" i="83"/>
  <c r="V35" i="83"/>
  <c r="V69" i="83"/>
  <c r="V57" i="83"/>
  <c r="V45" i="83"/>
  <c r="V17" i="83"/>
  <c r="V82" i="83"/>
  <c r="V46" i="83"/>
  <c r="V30" i="83"/>
  <c r="V26" i="83"/>
  <c r="V54" i="83"/>
  <c r="L76" i="70"/>
  <c r="N76" i="70" s="1"/>
  <c r="X82" i="70"/>
  <c r="Z82" i="70" s="1"/>
  <c r="J95" i="70"/>
  <c r="L96" i="70"/>
  <c r="L15" i="72"/>
  <c r="N15" i="72" s="1"/>
  <c r="X21" i="72"/>
  <c r="Z21" i="72" s="1"/>
  <c r="V22" i="72"/>
  <c r="V26" i="72"/>
  <c r="V30" i="72"/>
  <c r="V46" i="72"/>
  <c r="V62" i="72"/>
  <c r="V83" i="74"/>
  <c r="V86" i="74"/>
  <c r="V96" i="74"/>
  <c r="V99" i="74"/>
  <c r="V100" i="74"/>
  <c r="V105" i="74"/>
  <c r="V132" i="74"/>
  <c r="V136" i="74"/>
  <c r="V139" i="74"/>
  <c r="F73" i="75"/>
  <c r="F72" i="75"/>
  <c r="F49" i="75"/>
  <c r="F45" i="75"/>
  <c r="F41" i="75"/>
  <c r="F68" i="75"/>
  <c r="F60" i="75"/>
  <c r="F36" i="75"/>
  <c r="F32" i="75"/>
  <c r="F75" i="75"/>
  <c r="F74" i="75"/>
  <c r="F51" i="75"/>
  <c r="F50" i="75"/>
  <c r="F62" i="75"/>
  <c r="F61" i="75"/>
  <c r="F46" i="75"/>
  <c r="F42" i="75"/>
  <c r="F78" i="75"/>
  <c r="F69" i="75"/>
  <c r="F53" i="75"/>
  <c r="F52" i="75"/>
  <c r="F37" i="75"/>
  <c r="F33" i="75"/>
  <c r="F77" i="75"/>
  <c r="F63" i="75"/>
  <c r="F55" i="75"/>
  <c r="F54" i="75"/>
  <c r="F47" i="75"/>
  <c r="F43" i="75"/>
  <c r="F82" i="75"/>
  <c r="F70" i="75"/>
  <c r="F38" i="75"/>
  <c r="F34" i="75"/>
  <c r="F30" i="75"/>
  <c r="F29" i="75"/>
  <c r="F65" i="75"/>
  <c r="F64" i="75"/>
  <c r="F57" i="75"/>
  <c r="F56" i="75"/>
  <c r="F28" i="75"/>
  <c r="F24" i="75"/>
  <c r="F71" i="76"/>
  <c r="F70" i="76"/>
  <c r="F43" i="76"/>
  <c r="F39" i="76"/>
  <c r="F35" i="76"/>
  <c r="F90" i="76"/>
  <c r="F82" i="76"/>
  <c r="F81" i="76"/>
  <c r="F66" i="76"/>
  <c r="F62" i="76"/>
  <c r="F73" i="76"/>
  <c r="F72" i="76"/>
  <c r="F57" i="76"/>
  <c r="F53" i="76"/>
  <c r="F49" i="76"/>
  <c r="F48" i="76"/>
  <c r="F92" i="76"/>
  <c r="F91" i="76"/>
  <c r="F84" i="76"/>
  <c r="F83" i="76"/>
  <c r="F47" i="76"/>
  <c r="F40" i="76"/>
  <c r="F36" i="76"/>
  <c r="F75" i="76"/>
  <c r="F74" i="76"/>
  <c r="F67" i="76"/>
  <c r="F63" i="76"/>
  <c r="D45" i="76"/>
  <c r="F45" i="76" s="1"/>
  <c r="F94" i="76"/>
  <c r="F93" i="76"/>
  <c r="F86" i="76"/>
  <c r="F85" i="76"/>
  <c r="F58" i="76"/>
  <c r="F54" i="76"/>
  <c r="F50" i="76"/>
  <c r="F77" i="76"/>
  <c r="F76" i="76"/>
  <c r="F41" i="76"/>
  <c r="F37" i="76"/>
  <c r="F33" i="76"/>
  <c r="F32" i="76"/>
  <c r="F97" i="76"/>
  <c r="F88" i="76"/>
  <c r="F87" i="76"/>
  <c r="F68" i="76"/>
  <c r="F64" i="76"/>
  <c r="F60" i="76"/>
  <c r="F59" i="76"/>
  <c r="L12" i="76"/>
  <c r="N12" i="76" s="1"/>
  <c r="F98" i="76"/>
  <c r="F96" i="76"/>
  <c r="F79" i="76"/>
  <c r="F78" i="76"/>
  <c r="F55" i="76"/>
  <c r="F51" i="76"/>
  <c r="F102" i="76"/>
  <c r="F80" i="76"/>
  <c r="F56" i="76"/>
  <c r="F52" i="76"/>
  <c r="Z74" i="76"/>
  <c r="X74" i="76"/>
  <c r="D12" i="79"/>
  <c r="L14" i="79"/>
  <c r="N14" i="79" s="1"/>
  <c r="L45" i="79"/>
  <c r="J36" i="70"/>
  <c r="J40" i="70"/>
  <c r="J44" i="70"/>
  <c r="J48" i="70"/>
  <c r="J86" i="70"/>
  <c r="J94" i="70"/>
  <c r="V35" i="72"/>
  <c r="V39" i="72"/>
  <c r="V47" i="72"/>
  <c r="V55" i="72"/>
  <c r="V63" i="72"/>
  <c r="V59" i="74"/>
  <c r="V73" i="74"/>
  <c r="V80" i="74"/>
  <c r="X89" i="74"/>
  <c r="Z89" i="74" s="1"/>
  <c r="L13" i="75"/>
  <c r="N13" i="75" s="1"/>
  <c r="N28" i="75"/>
  <c r="N45" i="79"/>
  <c r="N61" i="83"/>
  <c r="L61" i="83"/>
  <c r="J61" i="83"/>
  <c r="J85" i="70"/>
  <c r="J93" i="70"/>
  <c r="J101" i="70"/>
  <c r="V16" i="72"/>
  <c r="V44" i="72"/>
  <c r="V115" i="74"/>
  <c r="V120" i="74"/>
  <c r="V125" i="74"/>
  <c r="X128" i="74"/>
  <c r="Z128" i="74" s="1"/>
  <c r="J24" i="75"/>
  <c r="J28" i="75"/>
  <c r="J72" i="75"/>
  <c r="N85" i="76"/>
  <c r="F89" i="76"/>
  <c r="R35" i="79"/>
  <c r="R39" i="79"/>
  <c r="N47" i="76"/>
  <c r="V59" i="76"/>
  <c r="V63" i="76"/>
  <c r="V67" i="76"/>
  <c r="V75" i="76"/>
  <c r="J81" i="76"/>
  <c r="N83" i="76"/>
  <c r="V87" i="76"/>
  <c r="N91" i="76"/>
  <c r="J21" i="79"/>
  <c r="J23" i="79"/>
  <c r="J25" i="79"/>
  <c r="J29" i="79"/>
  <c r="J33" i="79"/>
  <c r="J42" i="79"/>
  <c r="J50" i="79"/>
  <c r="Z71" i="79"/>
  <c r="F66" i="80"/>
  <c r="F65" i="80"/>
  <c r="F21" i="80"/>
  <c r="F19" i="80"/>
  <c r="F53" i="80"/>
  <c r="F52" i="80"/>
  <c r="F41" i="80"/>
  <c r="F37" i="80"/>
  <c r="F33" i="80"/>
  <c r="D19" i="80"/>
  <c r="F60" i="80"/>
  <c r="F28" i="80"/>
  <c r="F24" i="80"/>
  <c r="F70" i="80"/>
  <c r="F68" i="80"/>
  <c r="F43" i="80"/>
  <c r="F42" i="80"/>
  <c r="F72" i="80"/>
  <c r="F54" i="80"/>
  <c r="F38" i="80"/>
  <c r="F34" i="80"/>
  <c r="F61" i="80"/>
  <c r="F45" i="80"/>
  <c r="F44" i="80"/>
  <c r="F29" i="80"/>
  <c r="F25" i="80"/>
  <c r="F56" i="80"/>
  <c r="F55" i="80"/>
  <c r="F16" i="80"/>
  <c r="F15" i="80"/>
  <c r="F77" i="80"/>
  <c r="F74" i="80"/>
  <c r="F47" i="80"/>
  <c r="F46" i="80"/>
  <c r="F39" i="80"/>
  <c r="F35" i="80"/>
  <c r="F62" i="80"/>
  <c r="F30" i="80"/>
  <c r="F26" i="80"/>
  <c r="L12" i="80"/>
  <c r="F59" i="80"/>
  <c r="F58" i="80"/>
  <c r="F51" i="80"/>
  <c r="F50" i="80"/>
  <c r="F27" i="80"/>
  <c r="F23" i="80"/>
  <c r="F22" i="80"/>
  <c r="N22" i="80"/>
  <c r="L22" i="80"/>
  <c r="Z24" i="83"/>
  <c r="Z53" i="83"/>
  <c r="J108" i="84"/>
  <c r="J110" i="84"/>
  <c r="J102" i="84"/>
  <c r="J98" i="84"/>
  <c r="J82" i="84"/>
  <c r="J72" i="84"/>
  <c r="J62" i="84"/>
  <c r="J58" i="84"/>
  <c r="J54" i="84"/>
  <c r="J83" i="84"/>
  <c r="J73" i="84"/>
  <c r="J49" i="84"/>
  <c r="J111" i="84"/>
  <c r="J103" i="84"/>
  <c r="J99" i="84"/>
  <c r="J100" i="84"/>
  <c r="J94" i="84"/>
  <c r="J88" i="84"/>
  <c r="J66" i="84"/>
  <c r="J60" i="84"/>
  <c r="J56" i="84"/>
  <c r="J119" i="84"/>
  <c r="J107" i="84"/>
  <c r="J101" i="84"/>
  <c r="J89" i="84"/>
  <c r="J79" i="84"/>
  <c r="J69" i="84"/>
  <c r="J61" i="84"/>
  <c r="J57" i="84"/>
  <c r="J43" i="84"/>
  <c r="J86" i="84"/>
  <c r="J78" i="84"/>
  <c r="J59" i="84"/>
  <c r="J51" i="84"/>
  <c r="J34" i="84"/>
  <c r="J105" i="84"/>
  <c r="J38" i="84"/>
  <c r="J97" i="84"/>
  <c r="J93" i="84"/>
  <c r="J90" i="84"/>
  <c r="J46" i="84"/>
  <c r="J113" i="84"/>
  <c r="J87" i="84"/>
  <c r="J76" i="84"/>
  <c r="J65" i="84"/>
  <c r="J55" i="84"/>
  <c r="J35" i="84"/>
  <c r="J109" i="84"/>
  <c r="J52" i="84"/>
  <c r="J42" i="84"/>
  <c r="H40" i="84"/>
  <c r="J80" i="84"/>
  <c r="J91" i="84"/>
  <c r="J74" i="84"/>
  <c r="J70" i="84"/>
  <c r="J47" i="84"/>
  <c r="J44" i="84"/>
  <c r="J36" i="84"/>
  <c r="J106" i="84"/>
  <c r="J104" i="84"/>
  <c r="J95" i="84"/>
  <c r="J77" i="84"/>
  <c r="J53" i="84"/>
  <c r="J50" i="84"/>
  <c r="J112" i="84"/>
  <c r="J84" i="84"/>
  <c r="J81" i="84"/>
  <c r="J67" i="84"/>
  <c r="J63" i="84"/>
  <c r="J115" i="84"/>
  <c r="J92" i="84"/>
  <c r="J85" i="84"/>
  <c r="J37" i="84"/>
  <c r="J96" i="84"/>
  <c r="J64" i="84"/>
  <c r="J33" i="84"/>
  <c r="J34" i="76"/>
  <c r="J38" i="76"/>
  <c r="J42" i="76"/>
  <c r="T45" i="76"/>
  <c r="V62" i="76"/>
  <c r="V66" i="76"/>
  <c r="V74" i="76"/>
  <c r="V82" i="76"/>
  <c r="V90" i="76"/>
  <c r="J100" i="76"/>
  <c r="V61" i="79"/>
  <c r="V53" i="79"/>
  <c r="V68" i="79"/>
  <c r="V60" i="79"/>
  <c r="V52" i="79"/>
  <c r="V67" i="79"/>
  <c r="V55" i="79"/>
  <c r="V82" i="79"/>
  <c r="V80" i="79"/>
  <c r="V62" i="79"/>
  <c r="V69" i="79"/>
  <c r="V71" i="79"/>
  <c r="V63" i="79"/>
  <c r="V47" i="79"/>
  <c r="V70" i="79"/>
  <c r="V58" i="79"/>
  <c r="V73" i="79"/>
  <c r="V65" i="79"/>
  <c r="V57" i="79"/>
  <c r="V78" i="79"/>
  <c r="V76" i="79"/>
  <c r="V74" i="79"/>
  <c r="V66" i="79"/>
  <c r="J28" i="79"/>
  <c r="J32" i="79"/>
  <c r="V42" i="79"/>
  <c r="J45" i="79"/>
  <c r="L49" i="79"/>
  <c r="J52" i="79"/>
  <c r="Z55" i="79"/>
  <c r="J63" i="79"/>
  <c r="F95" i="83"/>
  <c r="F92" i="83"/>
  <c r="F29" i="83"/>
  <c r="F25" i="83"/>
  <c r="F24" i="83"/>
  <c r="F80" i="83"/>
  <c r="F68" i="83"/>
  <c r="F52" i="83"/>
  <c r="F23" i="83"/>
  <c r="F21" i="83"/>
  <c r="L12" i="83"/>
  <c r="N12" i="83" s="1"/>
  <c r="F75" i="83"/>
  <c r="F63" i="83"/>
  <c r="F43" i="83"/>
  <c r="F39" i="83"/>
  <c r="F35" i="83"/>
  <c r="D21" i="83"/>
  <c r="F82" i="83"/>
  <c r="F81" i="83"/>
  <c r="F54" i="83"/>
  <c r="F53" i="83"/>
  <c r="F30" i="83"/>
  <c r="F26" i="83"/>
  <c r="F69" i="83"/>
  <c r="F45" i="83"/>
  <c r="F44" i="83"/>
  <c r="F17" i="83"/>
  <c r="F16" i="83"/>
  <c r="F84" i="83"/>
  <c r="F83" i="83"/>
  <c r="F76" i="83"/>
  <c r="F64" i="83"/>
  <c r="F56" i="83"/>
  <c r="F55" i="83"/>
  <c r="F40" i="83"/>
  <c r="F36" i="83"/>
  <c r="F71" i="83"/>
  <c r="F70" i="83"/>
  <c r="F47" i="83"/>
  <c r="F46" i="83"/>
  <c r="F31" i="83"/>
  <c r="F27" i="83"/>
  <c r="F58" i="83"/>
  <c r="F57" i="83"/>
  <c r="F18" i="83"/>
  <c r="F88" i="83"/>
  <c r="F86" i="83"/>
  <c r="F77" i="83"/>
  <c r="F73" i="83"/>
  <c r="F72" i="83"/>
  <c r="F65" i="83"/>
  <c r="F49" i="83"/>
  <c r="F48" i="83"/>
  <c r="F41" i="83"/>
  <c r="F37" i="83"/>
  <c r="F90" i="83"/>
  <c r="F60" i="83"/>
  <c r="F59" i="83"/>
  <c r="F32" i="83"/>
  <c r="F28" i="83"/>
  <c r="F74" i="83"/>
  <c r="F62" i="83"/>
  <c r="F61" i="83"/>
  <c r="F42" i="83"/>
  <c r="F38" i="83"/>
  <c r="F34" i="83"/>
  <c r="F33" i="83"/>
  <c r="N59" i="83"/>
  <c r="N66" i="83"/>
  <c r="D12" i="84"/>
  <c r="P12" i="84"/>
  <c r="Z33" i="84"/>
  <c r="J45" i="84"/>
  <c r="J48" i="84"/>
  <c r="Z59" i="92"/>
  <c r="X59" i="92"/>
  <c r="V35" i="76"/>
  <c r="V39" i="76"/>
  <c r="V43" i="76"/>
  <c r="V47" i="76"/>
  <c r="V71" i="76"/>
  <c r="V83" i="76"/>
  <c r="V91" i="76"/>
  <c r="J37" i="79"/>
  <c r="N49" i="79"/>
  <c r="N61" i="79"/>
  <c r="F47" i="82"/>
  <c r="F42" i="82"/>
  <c r="F38" i="82"/>
  <c r="F51" i="82"/>
  <c r="F33" i="82"/>
  <c r="F29" i="82"/>
  <c r="F20" i="82"/>
  <c r="F43" i="82"/>
  <c r="F39" i="82"/>
  <c r="F34" i="82"/>
  <c r="F30" i="82"/>
  <c r="F21" i="82"/>
  <c r="F44" i="82"/>
  <c r="F40" i="82"/>
  <c r="F36" i="82"/>
  <c r="F35" i="82"/>
  <c r="F31" i="82"/>
  <c r="F27" i="82"/>
  <c r="F26" i="82"/>
  <c r="F25" i="82"/>
  <c r="F23" i="82"/>
  <c r="F45" i="82"/>
  <c r="F41" i="82"/>
  <c r="F37" i="82"/>
  <c r="D23" i="82"/>
  <c r="F19" i="82"/>
  <c r="F18" i="82"/>
  <c r="V48" i="76"/>
  <c r="V52" i="76"/>
  <c r="V56" i="76"/>
  <c r="V72" i="76"/>
  <c r="V80" i="76"/>
  <c r="V102" i="76"/>
  <c r="T85" i="79"/>
  <c r="V85" i="79" s="1"/>
  <c r="J44" i="79"/>
  <c r="J49" i="79"/>
  <c r="N21" i="80"/>
  <c r="P12" i="82"/>
  <c r="X15" i="82"/>
  <c r="F32" i="82"/>
  <c r="Z16" i="83"/>
  <c r="X83" i="83"/>
  <c r="Z83" i="83" s="1"/>
  <c r="J59" i="76"/>
  <c r="V61" i="76"/>
  <c r="V65" i="76"/>
  <c r="V69" i="76"/>
  <c r="V81" i="76"/>
  <c r="J87" i="76"/>
  <c r="V89" i="76"/>
  <c r="J17" i="79"/>
  <c r="V21" i="79"/>
  <c r="V23" i="79"/>
  <c r="J27" i="79"/>
  <c r="J31" i="79"/>
  <c r="J56" i="79"/>
  <c r="R72" i="80"/>
  <c r="R55" i="80"/>
  <c r="R54" i="80"/>
  <c r="R38" i="80"/>
  <c r="R34" i="80"/>
  <c r="R15" i="80"/>
  <c r="R77" i="80"/>
  <c r="R74" i="80"/>
  <c r="R61" i="80"/>
  <c r="R46" i="80"/>
  <c r="R45" i="80"/>
  <c r="R29" i="80"/>
  <c r="R25" i="80"/>
  <c r="R56" i="80"/>
  <c r="R16" i="80"/>
  <c r="R48" i="80"/>
  <c r="R47" i="80"/>
  <c r="R39" i="80"/>
  <c r="R35" i="80"/>
  <c r="R63" i="80"/>
  <c r="R62" i="80"/>
  <c r="R31" i="80"/>
  <c r="R30" i="80"/>
  <c r="R26" i="80"/>
  <c r="X12" i="80"/>
  <c r="R58" i="80"/>
  <c r="R57" i="80"/>
  <c r="R50" i="80"/>
  <c r="R49" i="80"/>
  <c r="R22" i="80"/>
  <c r="R17" i="80"/>
  <c r="R65" i="80"/>
  <c r="R64" i="80"/>
  <c r="R40" i="80"/>
  <c r="R36" i="80"/>
  <c r="R32" i="80"/>
  <c r="R21" i="80"/>
  <c r="R19" i="80"/>
  <c r="R59" i="80"/>
  <c r="R52" i="80"/>
  <c r="R51" i="80"/>
  <c r="R27" i="80"/>
  <c r="R23" i="80"/>
  <c r="P19" i="80"/>
  <c r="R66" i="80"/>
  <c r="R70" i="80"/>
  <c r="R68" i="80"/>
  <c r="R44" i="80"/>
  <c r="R43" i="80"/>
  <c r="N31" i="80"/>
  <c r="L31" i="80"/>
  <c r="R37" i="80"/>
  <c r="N46" i="83"/>
  <c r="N57" i="83"/>
  <c r="L29" i="75"/>
  <c r="N29" i="75" s="1"/>
  <c r="V34" i="76"/>
  <c r="V38" i="76"/>
  <c r="V42" i="76"/>
  <c r="L59" i="76"/>
  <c r="V70" i="76"/>
  <c r="X81" i="76"/>
  <c r="Z81" i="76" s="1"/>
  <c r="L87" i="76"/>
  <c r="N87" i="76" s="1"/>
  <c r="L17" i="79"/>
  <c r="X23" i="79"/>
  <c r="Z23" i="79" s="1"/>
  <c r="J36" i="79"/>
  <c r="J40" i="79"/>
  <c r="F28" i="82"/>
  <c r="N60" i="87"/>
  <c r="L60" i="87"/>
  <c r="V51" i="76"/>
  <c r="V55" i="76"/>
  <c r="J63" i="76"/>
  <c r="J67" i="76"/>
  <c r="J75" i="76"/>
  <c r="V79" i="76"/>
  <c r="J85" i="76"/>
  <c r="V37" i="79"/>
  <c r="J43" i="79"/>
  <c r="Z49" i="79"/>
  <c r="V54" i="79"/>
  <c r="N58" i="79"/>
  <c r="F40" i="80"/>
  <c r="R53" i="80"/>
  <c r="F51" i="83"/>
  <c r="F67" i="83"/>
  <c r="J75" i="84"/>
  <c r="V60" i="76"/>
  <c r="V64" i="76"/>
  <c r="V68" i="76"/>
  <c r="V88" i="76"/>
  <c r="V98" i="76"/>
  <c r="J26" i="79"/>
  <c r="J30" i="79"/>
  <c r="J60" i="79"/>
  <c r="N50" i="80"/>
  <c r="L50" i="80"/>
  <c r="V33" i="76"/>
  <c r="V37" i="76"/>
  <c r="V41" i="76"/>
  <c r="V77" i="76"/>
  <c r="J83" i="76"/>
  <c r="J91" i="76"/>
  <c r="V97" i="76"/>
  <c r="J35" i="79"/>
  <c r="N73" i="79"/>
  <c r="N63" i="80"/>
  <c r="L63" i="80"/>
  <c r="L33" i="83"/>
  <c r="N33" i="83" s="1"/>
  <c r="J33" i="83"/>
  <c r="Z55" i="83"/>
  <c r="X55" i="83"/>
  <c r="X79" i="84"/>
  <c r="Z79" i="84" s="1"/>
  <c r="V79" i="84"/>
  <c r="V50" i="76"/>
  <c r="V54" i="76"/>
  <c r="V58" i="76"/>
  <c r="V78" i="76"/>
  <c r="V86" i="76"/>
  <c r="V94" i="76"/>
  <c r="J71" i="79"/>
  <c r="J65" i="79"/>
  <c r="J57" i="79"/>
  <c r="J47" i="79"/>
  <c r="J41" i="79"/>
  <c r="J72" i="79"/>
  <c r="J58" i="79"/>
  <c r="J48" i="79"/>
  <c r="J73" i="79"/>
  <c r="J59" i="79"/>
  <c r="J74" i="79"/>
  <c r="J66" i="79"/>
  <c r="J51" i="79"/>
  <c r="J76" i="79"/>
  <c r="J67" i="79"/>
  <c r="J61" i="79"/>
  <c r="J53" i="79"/>
  <c r="J80" i="79"/>
  <c r="J68" i="79"/>
  <c r="J62" i="79"/>
  <c r="J54" i="79"/>
  <c r="J69" i="79"/>
  <c r="J55" i="79"/>
  <c r="J70" i="79"/>
  <c r="J64" i="79"/>
  <c r="H21" i="79"/>
  <c r="J34" i="79"/>
  <c r="Z51" i="79"/>
  <c r="L55" i="79"/>
  <c r="N55" i="79" s="1"/>
  <c r="X73" i="79"/>
  <c r="Z73" i="79" s="1"/>
  <c r="H92" i="83"/>
  <c r="N70" i="83"/>
  <c r="V34" i="80"/>
  <c r="V38" i="80"/>
  <c r="V46" i="80"/>
  <c r="Z48" i="80"/>
  <c r="V54" i="80"/>
  <c r="V72" i="80"/>
  <c r="V74" i="80"/>
  <c r="V77" i="80"/>
  <c r="V26" i="82"/>
  <c r="V30" i="82"/>
  <c r="V34" i="82"/>
  <c r="J38" i="82"/>
  <c r="J42" i="82"/>
  <c r="P12" i="83"/>
  <c r="J21" i="83"/>
  <c r="J23" i="83"/>
  <c r="J25" i="83"/>
  <c r="J29" i="83"/>
  <c r="V35" i="84"/>
  <c r="T40" i="84"/>
  <c r="V42" i="84"/>
  <c r="V43" i="84"/>
  <c r="V57" i="84"/>
  <c r="Z87" i="84"/>
  <c r="L115" i="84"/>
  <c r="Z49" i="87"/>
  <c r="J53" i="87"/>
  <c r="F32" i="88"/>
  <c r="F30" i="88"/>
  <c r="F34" i="88"/>
  <c r="F20" i="88"/>
  <c r="F19" i="88"/>
  <c r="F18" i="88"/>
  <c r="F16" i="88"/>
  <c r="F14" i="88"/>
  <c r="F22" i="88"/>
  <c r="F39" i="88"/>
  <c r="F36" i="88"/>
  <c r="F26" i="88"/>
  <c r="F25" i="88"/>
  <c r="F21" i="88"/>
  <c r="F27" i="88"/>
  <c r="F24" i="88"/>
  <c r="L12" i="88"/>
  <c r="N81" i="84"/>
  <c r="N112" i="84"/>
  <c r="F93" i="87"/>
  <c r="F90" i="87"/>
  <c r="F43" i="87"/>
  <c r="F42" i="87"/>
  <c r="F78" i="87"/>
  <c r="F77" i="87"/>
  <c r="F62" i="87"/>
  <c r="F54" i="87"/>
  <c r="F53" i="87"/>
  <c r="F38" i="87"/>
  <c r="F34" i="87"/>
  <c r="F73" i="87"/>
  <c r="F63" i="87"/>
  <c r="F47" i="87"/>
  <c r="F46" i="87"/>
  <c r="F39" i="87"/>
  <c r="F35" i="87"/>
  <c r="F57" i="87"/>
  <c r="F17" i="87"/>
  <c r="F16" i="87"/>
  <c r="F64" i="87"/>
  <c r="F61" i="87"/>
  <c r="F60" i="87"/>
  <c r="F41" i="87"/>
  <c r="F37" i="87"/>
  <c r="F33" i="87"/>
  <c r="F86" i="87"/>
  <c r="F75" i="87"/>
  <c r="F30" i="87"/>
  <c r="F82" i="87"/>
  <c r="F81" i="87"/>
  <c r="F69" i="87"/>
  <c r="F50" i="87"/>
  <c r="F28" i="87"/>
  <c r="F23" i="87"/>
  <c r="F36" i="87"/>
  <c r="F45" i="87"/>
  <c r="F26" i="87"/>
  <c r="F76" i="87"/>
  <c r="F66" i="87"/>
  <c r="F31" i="87"/>
  <c r="F79" i="87"/>
  <c r="F74" i="87"/>
  <c r="F72" i="87"/>
  <c r="F51" i="87"/>
  <c r="F48" i="87"/>
  <c r="F24" i="87"/>
  <c r="F19" i="87"/>
  <c r="L12" i="87"/>
  <c r="F88" i="87"/>
  <c r="F84" i="87"/>
  <c r="F68" i="87"/>
  <c r="F67" i="87"/>
  <c r="F55" i="87"/>
  <c r="F32" i="87"/>
  <c r="F56" i="87"/>
  <c r="F49" i="87"/>
  <c r="F25" i="87"/>
  <c r="F22" i="87"/>
  <c r="D19" i="87"/>
  <c r="D32" i="88"/>
  <c r="L16" i="88"/>
  <c r="V33" i="80"/>
  <c r="V37" i="80"/>
  <c r="V41" i="80"/>
  <c r="V53" i="80"/>
  <c r="V29" i="82"/>
  <c r="V33" i="82"/>
  <c r="J37" i="82"/>
  <c r="J41" i="82"/>
  <c r="J45" i="82"/>
  <c r="V51" i="82"/>
  <c r="J50" i="83"/>
  <c r="J60" i="83"/>
  <c r="J66" i="83"/>
  <c r="J78" i="83"/>
  <c r="J90" i="83"/>
  <c r="X15" i="84"/>
  <c r="N53" i="84"/>
  <c r="V75" i="84"/>
  <c r="V89" i="84"/>
  <c r="P32" i="88"/>
  <c r="X16" i="88"/>
  <c r="V42" i="80"/>
  <c r="V66" i="80"/>
  <c r="V68" i="80"/>
  <c r="V70" i="80"/>
  <c r="V38" i="82"/>
  <c r="V42" i="82"/>
  <c r="X16" i="83"/>
  <c r="J37" i="83"/>
  <c r="J41" i="83"/>
  <c r="X44" i="83"/>
  <c r="Z44" i="83" s="1"/>
  <c r="J49" i="83"/>
  <c r="L50" i="83"/>
  <c r="N50" i="83" s="1"/>
  <c r="J59" i="83"/>
  <c r="J65" i="83"/>
  <c r="L66" i="83"/>
  <c r="J73" i="83"/>
  <c r="J77" i="83"/>
  <c r="L78" i="83"/>
  <c r="V61" i="84"/>
  <c r="V71" i="84"/>
  <c r="X72" i="84"/>
  <c r="N74" i="84"/>
  <c r="J17" i="85"/>
  <c r="J18" i="85"/>
  <c r="H20" i="85"/>
  <c r="J30" i="85"/>
  <c r="P12" i="87"/>
  <c r="X13" i="87"/>
  <c r="J43" i="87"/>
  <c r="J46" i="87"/>
  <c r="F52" i="87"/>
  <c r="F59" i="87"/>
  <c r="J69" i="92"/>
  <c r="J65" i="92"/>
  <c r="J59" i="92"/>
  <c r="J49" i="92"/>
  <c r="J61" i="92"/>
  <c r="J73" i="92"/>
  <c r="J63" i="92"/>
  <c r="J72" i="92"/>
  <c r="J62" i="92"/>
  <c r="J66" i="92"/>
  <c r="J53" i="92"/>
  <c r="J45" i="92"/>
  <c r="J46" i="92"/>
  <c r="J38" i="92"/>
  <c r="J34" i="92"/>
  <c r="J80" i="92"/>
  <c r="J70" i="92"/>
  <c r="J60" i="92"/>
  <c r="J54" i="92"/>
  <c r="J29" i="92"/>
  <c r="J25" i="92"/>
  <c r="J15" i="92"/>
  <c r="J55" i="92"/>
  <c r="J30" i="92"/>
  <c r="J16" i="92"/>
  <c r="J74" i="92"/>
  <c r="J67" i="92"/>
  <c r="J64" i="92"/>
  <c r="J47" i="92"/>
  <c r="J39" i="92"/>
  <c r="J35" i="92"/>
  <c r="J31" i="92"/>
  <c r="J21" i="92"/>
  <c r="J82" i="92"/>
  <c r="J71" i="92"/>
  <c r="J48" i="92"/>
  <c r="J26" i="92"/>
  <c r="J22" i="92"/>
  <c r="J20" i="92"/>
  <c r="J18" i="92"/>
  <c r="N12" i="92"/>
  <c r="J56" i="92"/>
  <c r="H18" i="92"/>
  <c r="J85" i="92"/>
  <c r="J78" i="92"/>
  <c r="J42" i="92"/>
  <c r="J33" i="92"/>
  <c r="J23" i="92"/>
  <c r="J43" i="92"/>
  <c r="J40" i="92"/>
  <c r="J28" i="92"/>
  <c r="J51" i="92"/>
  <c r="J57" i="92"/>
  <c r="J41" i="92"/>
  <c r="J36" i="92"/>
  <c r="J24" i="92"/>
  <c r="J68" i="92"/>
  <c r="J52" i="92"/>
  <c r="J32" i="92"/>
  <c r="J58" i="92"/>
  <c r="J50" i="92"/>
  <c r="J44" i="92"/>
  <c r="J37" i="92"/>
  <c r="J76" i="92"/>
  <c r="V23" i="80"/>
  <c r="V27" i="80"/>
  <c r="V51" i="80"/>
  <c r="V59" i="80"/>
  <c r="V19" i="82"/>
  <c r="J23" i="82"/>
  <c r="J25" i="82"/>
  <c r="J27" i="82"/>
  <c r="J31" i="82"/>
  <c r="J48" i="83"/>
  <c r="J58" i="83"/>
  <c r="J72" i="83"/>
  <c r="J86" i="83"/>
  <c r="J88" i="83"/>
  <c r="V112" i="84"/>
  <c r="V104" i="84"/>
  <c r="V94" i="84"/>
  <c r="V86" i="84"/>
  <c r="V66" i="84"/>
  <c r="V50" i="84"/>
  <c r="V46" i="84"/>
  <c r="V115" i="84"/>
  <c r="V113" i="84"/>
  <c r="V105" i="84"/>
  <c r="V93" i="84"/>
  <c r="V77" i="84"/>
  <c r="V65" i="84"/>
  <c r="V107" i="84"/>
  <c r="V108" i="84"/>
  <c r="V96" i="84"/>
  <c r="V80" i="84"/>
  <c r="V72" i="84"/>
  <c r="V52" i="84"/>
  <c r="V48" i="84"/>
  <c r="V44" i="84"/>
  <c r="V85" i="84"/>
  <c r="V73" i="84"/>
  <c r="V49" i="84"/>
  <c r="V45" i="84"/>
  <c r="V56" i="84"/>
  <c r="V64" i="84"/>
  <c r="Z68" i="84"/>
  <c r="L83" i="84"/>
  <c r="V92" i="84"/>
  <c r="P12" i="85"/>
  <c r="J20" i="85"/>
  <c r="T86" i="87"/>
  <c r="Z19" i="87"/>
  <c r="F21" i="87"/>
  <c r="X44" i="87"/>
  <c r="J59" i="87"/>
  <c r="T19" i="80"/>
  <c r="V32" i="80"/>
  <c r="V36" i="80"/>
  <c r="V40" i="80"/>
  <c r="V52" i="80"/>
  <c r="V64" i="80"/>
  <c r="V28" i="82"/>
  <c r="V32" i="82"/>
  <c r="J36" i="82"/>
  <c r="J40" i="82"/>
  <c r="J44" i="82"/>
  <c r="L13" i="83"/>
  <c r="N13" i="83" s="1"/>
  <c r="J27" i="83"/>
  <c r="J31" i="83"/>
  <c r="J47" i="83"/>
  <c r="J57" i="83"/>
  <c r="J71" i="83"/>
  <c r="V33" i="84"/>
  <c r="V37" i="84"/>
  <c r="V58" i="84"/>
  <c r="V63" i="84"/>
  <c r="L66" i="84"/>
  <c r="N66" i="84" s="1"/>
  <c r="V68" i="84"/>
  <c r="V102" i="84"/>
  <c r="X104" i="84"/>
  <c r="V23" i="85"/>
  <c r="T20" i="85"/>
  <c r="V26" i="85"/>
  <c r="V24" i="85"/>
  <c r="V30" i="85"/>
  <c r="V17" i="85"/>
  <c r="L23" i="85"/>
  <c r="J27" i="92"/>
  <c r="V17" i="80"/>
  <c r="V19" i="80"/>
  <c r="V21" i="80"/>
  <c r="V49" i="80"/>
  <c r="V57" i="80"/>
  <c r="V65" i="80"/>
  <c r="J21" i="82"/>
  <c r="J35" i="82"/>
  <c r="V37" i="82"/>
  <c r="V41" i="82"/>
  <c r="V45" i="82"/>
  <c r="V47" i="82"/>
  <c r="J36" i="83"/>
  <c r="J40" i="83"/>
  <c r="J46" i="83"/>
  <c r="J56" i="83"/>
  <c r="J64" i="83"/>
  <c r="J70" i="83"/>
  <c r="J76" i="83"/>
  <c r="J84" i="83"/>
  <c r="V67" i="84"/>
  <c r="V84" i="84"/>
  <c r="V98" i="84"/>
  <c r="V100" i="84"/>
  <c r="N23" i="85"/>
  <c r="J26" i="85"/>
  <c r="J21" i="87"/>
  <c r="F27" i="87"/>
  <c r="F40" i="87"/>
  <c r="F70" i="87"/>
  <c r="D82" i="91"/>
  <c r="L16" i="91"/>
  <c r="D12" i="92"/>
  <c r="L13" i="92"/>
  <c r="Z12" i="80"/>
  <c r="V22" i="80"/>
  <c r="V26" i="80"/>
  <c r="V30" i="80"/>
  <c r="V50" i="80"/>
  <c r="V58" i="80"/>
  <c r="V62" i="80"/>
  <c r="V18" i="82"/>
  <c r="J30" i="82"/>
  <c r="J34" i="82"/>
  <c r="J17" i="83"/>
  <c r="J45" i="83"/>
  <c r="J55" i="83"/>
  <c r="J69" i="83"/>
  <c r="J83" i="83"/>
  <c r="V81" i="84"/>
  <c r="V88" i="84"/>
  <c r="V95" i="84"/>
  <c r="N97" i="84"/>
  <c r="V106" i="84"/>
  <c r="X107" i="84"/>
  <c r="J23" i="85"/>
  <c r="J17" i="87"/>
  <c r="J23" i="87"/>
  <c r="J27" i="87"/>
  <c r="F29" i="87"/>
  <c r="J56" i="87"/>
  <c r="F80" i="87"/>
  <c r="F23" i="88"/>
  <c r="V31" i="80"/>
  <c r="V35" i="80"/>
  <c r="V39" i="80"/>
  <c r="V47" i="80"/>
  <c r="V63" i="80"/>
  <c r="L13" i="82"/>
  <c r="N13" i="82" s="1"/>
  <c r="V27" i="82"/>
  <c r="V31" i="82"/>
  <c r="J39" i="82"/>
  <c r="J43" i="82"/>
  <c r="J16" i="83"/>
  <c r="J26" i="83"/>
  <c r="J30" i="83"/>
  <c r="J44" i="83"/>
  <c r="J54" i="83"/>
  <c r="J82" i="83"/>
  <c r="V36" i="84"/>
  <c r="V47" i="84"/>
  <c r="V53" i="84"/>
  <c r="V70" i="84"/>
  <c r="V74" i="84"/>
  <c r="X83" i="84"/>
  <c r="Z83" i="84" s="1"/>
  <c r="V91" i="84"/>
  <c r="D12" i="85"/>
  <c r="J16" i="85"/>
  <c r="X23" i="85"/>
  <c r="Z23" i="85" s="1"/>
  <c r="F58" i="87"/>
  <c r="F65" i="87"/>
  <c r="Z21" i="88"/>
  <c r="V16" i="80"/>
  <c r="V48" i="80"/>
  <c r="V56" i="80"/>
  <c r="T23" i="82"/>
  <c r="V36" i="82"/>
  <c r="V40" i="82"/>
  <c r="V44" i="82"/>
  <c r="J35" i="83"/>
  <c r="J39" i="83"/>
  <c r="J43" i="83"/>
  <c r="J53" i="83"/>
  <c r="J63" i="83"/>
  <c r="J75" i="83"/>
  <c r="J81" i="83"/>
  <c r="V55" i="84"/>
  <c r="V60" i="84"/>
  <c r="V62" i="84"/>
  <c r="V111" i="84"/>
  <c r="J78" i="87"/>
  <c r="J62" i="87"/>
  <c r="J54" i="87"/>
  <c r="J44" i="87"/>
  <c r="J38" i="87"/>
  <c r="J34" i="87"/>
  <c r="J79" i="87"/>
  <c r="J73" i="87"/>
  <c r="J69" i="87"/>
  <c r="J55" i="87"/>
  <c r="J45" i="87"/>
  <c r="J29" i="87"/>
  <c r="J25" i="87"/>
  <c r="J80" i="87"/>
  <c r="J82" i="87"/>
  <c r="J74" i="87"/>
  <c r="J70" i="87"/>
  <c r="J30" i="87"/>
  <c r="J26" i="87"/>
  <c r="J86" i="87"/>
  <c r="J84" i="87"/>
  <c r="J64" i="87"/>
  <c r="J58" i="87"/>
  <c r="J48" i="87"/>
  <c r="J40" i="87"/>
  <c r="J36" i="87"/>
  <c r="J32" i="87"/>
  <c r="J22" i="87"/>
  <c r="J75" i="87"/>
  <c r="J71" i="87"/>
  <c r="J65" i="87"/>
  <c r="J93" i="87"/>
  <c r="J90" i="87"/>
  <c r="J76" i="87"/>
  <c r="J72" i="87"/>
  <c r="J68" i="87"/>
  <c r="J52" i="87"/>
  <c r="J42" i="87"/>
  <c r="J28" i="87"/>
  <c r="J24" i="87"/>
  <c r="J81" i="87"/>
  <c r="J60" i="87"/>
  <c r="J33" i="87"/>
  <c r="J41" i="87"/>
  <c r="J57" i="87"/>
  <c r="J31" i="87"/>
  <c r="J66" i="87"/>
  <c r="J63" i="87"/>
  <c r="J51" i="87"/>
  <c r="J19" i="87"/>
  <c r="J39" i="87"/>
  <c r="H19" i="87"/>
  <c r="N12" i="87"/>
  <c r="J67" i="87"/>
  <c r="J61" i="87"/>
  <c r="J35" i="87"/>
  <c r="J49" i="87"/>
  <c r="V25" i="80"/>
  <c r="V29" i="80"/>
  <c r="V45" i="80"/>
  <c r="V21" i="82"/>
  <c r="J29" i="82"/>
  <c r="J33" i="82"/>
  <c r="J52" i="83"/>
  <c r="J68" i="83"/>
  <c r="V69" i="84"/>
  <c r="V83" i="84"/>
  <c r="V103" i="84"/>
  <c r="V109" i="84"/>
  <c r="J22" i="85"/>
  <c r="J37" i="87"/>
  <c r="L13" i="87"/>
  <c r="Z18" i="88"/>
  <c r="T78" i="92"/>
  <c r="Z18" i="92"/>
  <c r="N46" i="87"/>
  <c r="H82" i="91"/>
  <c r="N16" i="91"/>
  <c r="L42" i="87"/>
  <c r="Z46" i="87"/>
  <c r="L58" i="87"/>
  <c r="L13" i="85"/>
  <c r="N13" i="85" s="1"/>
  <c r="X16" i="87"/>
  <c r="X78" i="91"/>
  <c r="Z16" i="87"/>
  <c r="X79" i="87"/>
  <c r="L30" i="88"/>
  <c r="Z73" i="92"/>
  <c r="X73" i="92"/>
  <c r="L65" i="87"/>
  <c r="X21" i="92"/>
  <c r="Z21" i="92"/>
  <c r="L49" i="87"/>
  <c r="N49" i="87" s="1"/>
  <c r="X21" i="88"/>
  <c r="L27" i="88"/>
  <c r="Z30" i="88"/>
  <c r="X30" i="88"/>
  <c r="V56" i="87"/>
  <c r="V80" i="87"/>
  <c r="J30" i="88"/>
  <c r="J32" i="88"/>
  <c r="R36" i="88"/>
  <c r="R39" i="88"/>
  <c r="R60" i="91"/>
  <c r="R53" i="91"/>
  <c r="R52" i="91"/>
  <c r="R36" i="91"/>
  <c r="R32" i="91"/>
  <c r="X12" i="91"/>
  <c r="R44" i="91"/>
  <c r="R43" i="91"/>
  <c r="R27" i="91"/>
  <c r="R23" i="91"/>
  <c r="R84" i="91"/>
  <c r="R71" i="91"/>
  <c r="R70" i="91"/>
  <c r="R66" i="91"/>
  <c r="R55" i="91"/>
  <c r="R54" i="91"/>
  <c r="R89" i="91"/>
  <c r="R86" i="91"/>
  <c r="R61" i="91"/>
  <c r="R45" i="91"/>
  <c r="R37" i="91"/>
  <c r="R33" i="91"/>
  <c r="R18" i="91"/>
  <c r="R16" i="91"/>
  <c r="R14" i="91"/>
  <c r="R73" i="91"/>
  <c r="R72" i="91"/>
  <c r="R56" i="91"/>
  <c r="R29" i="91"/>
  <c r="R28" i="91"/>
  <c r="R67" i="91"/>
  <c r="R75" i="91"/>
  <c r="R74" i="91"/>
  <c r="R63" i="91"/>
  <c r="R62" i="91"/>
  <c r="R47" i="91"/>
  <c r="R46" i="91"/>
  <c r="R38" i="91"/>
  <c r="R34" i="91"/>
  <c r="R30" i="91"/>
  <c r="R79" i="91"/>
  <c r="R78" i="91"/>
  <c r="R59" i="91"/>
  <c r="R40" i="91"/>
  <c r="R39" i="91"/>
  <c r="R35" i="91"/>
  <c r="R31" i="91"/>
  <c r="X18" i="91"/>
  <c r="Z18" i="91" s="1"/>
  <c r="R22" i="91"/>
  <c r="R25" i="91"/>
  <c r="R15" i="92"/>
  <c r="R59" i="92"/>
  <c r="Z49" i="93"/>
  <c r="V79" i="87"/>
  <c r="T16" i="88"/>
  <c r="R19" i="88"/>
  <c r="L14" i="91"/>
  <c r="Z49" i="91"/>
  <c r="X49" i="91"/>
  <c r="R51" i="91"/>
  <c r="R69" i="91"/>
  <c r="L71" i="91"/>
  <c r="N71" i="91" s="1"/>
  <c r="R76" i="91"/>
  <c r="R25" i="92"/>
  <c r="R30" i="92"/>
  <c r="R45" i="92"/>
  <c r="R58" i="92"/>
  <c r="T79" i="93"/>
  <c r="Z19" i="93"/>
  <c r="V24" i="87"/>
  <c r="V28" i="87"/>
  <c r="V44" i="87"/>
  <c r="V52" i="87"/>
  <c r="V68" i="87"/>
  <c r="V72" i="87"/>
  <c r="V76" i="87"/>
  <c r="V14" i="88"/>
  <c r="V16" i="88"/>
  <c r="J26" i="88"/>
  <c r="R30" i="88"/>
  <c r="R32" i="88"/>
  <c r="P16" i="91"/>
  <c r="R21" i="91"/>
  <c r="R24" i="91"/>
  <c r="L40" i="91"/>
  <c r="R48" i="91"/>
  <c r="R82" i="91"/>
  <c r="N20" i="92"/>
  <c r="X45" i="92"/>
  <c r="Z45" i="92" s="1"/>
  <c r="T82" i="91"/>
  <c r="R66" i="92"/>
  <c r="R74" i="92"/>
  <c r="R62" i="92"/>
  <c r="R68" i="92"/>
  <c r="R69" i="92"/>
  <c r="R63" i="92"/>
  <c r="R55" i="92"/>
  <c r="R21" i="92"/>
  <c r="R16" i="92"/>
  <c r="R67" i="92"/>
  <c r="R64" i="92"/>
  <c r="R48" i="92"/>
  <c r="R47" i="92"/>
  <c r="R39" i="92"/>
  <c r="R35" i="92"/>
  <c r="R31" i="92"/>
  <c r="R20" i="92"/>
  <c r="R18" i="92"/>
  <c r="R71" i="92"/>
  <c r="R26" i="92"/>
  <c r="R22" i="92"/>
  <c r="P18" i="92"/>
  <c r="X12" i="92"/>
  <c r="R82" i="92"/>
  <c r="R76" i="92"/>
  <c r="R61" i="92"/>
  <c r="R56" i="92"/>
  <c r="R57" i="92"/>
  <c r="R49" i="92"/>
  <c r="R41" i="92"/>
  <c r="R40" i="92"/>
  <c r="R36" i="92"/>
  <c r="R32" i="92"/>
  <c r="R65" i="92"/>
  <c r="R50" i="92"/>
  <c r="R27" i="92"/>
  <c r="R23" i="92"/>
  <c r="R78" i="92"/>
  <c r="R43" i="92"/>
  <c r="R42" i="92"/>
  <c r="R73" i="92"/>
  <c r="R53" i="92"/>
  <c r="R44" i="92"/>
  <c r="R60" i="92"/>
  <c r="R85" i="92"/>
  <c r="L94" i="95"/>
  <c r="F94" i="95"/>
  <c r="V42" i="87"/>
  <c r="V50" i="87"/>
  <c r="V66" i="87"/>
  <c r="V88" i="87"/>
  <c r="V90" i="87"/>
  <c r="V93" i="87"/>
  <c r="J24" i="88"/>
  <c r="J23" i="91"/>
  <c r="R64" i="91"/>
  <c r="J73" i="91"/>
  <c r="J89" i="91"/>
  <c r="X13" i="92"/>
  <c r="R29" i="92"/>
  <c r="R72" i="92"/>
  <c r="T85" i="94"/>
  <c r="R50" i="91"/>
  <c r="Z53" i="91"/>
  <c r="X79" i="91"/>
  <c r="R34" i="92"/>
  <c r="R70" i="92"/>
  <c r="J36" i="88"/>
  <c r="J39" i="88"/>
  <c r="R20" i="91"/>
  <c r="R57" i="91"/>
  <c r="R68" i="91"/>
  <c r="J75" i="91"/>
  <c r="R24" i="92"/>
  <c r="R46" i="92"/>
  <c r="R52" i="92"/>
  <c r="V17" i="87"/>
  <c r="V19" i="87"/>
  <c r="V21" i="87"/>
  <c r="V49" i="87"/>
  <c r="V57" i="87"/>
  <c r="V65" i="87"/>
  <c r="H16" i="88"/>
  <c r="J21" i="88"/>
  <c r="R24" i="88"/>
  <c r="J25" i="91"/>
  <c r="N75" i="91"/>
  <c r="Z69" i="94"/>
  <c r="X69" i="94"/>
  <c r="V22" i="87"/>
  <c r="V26" i="87"/>
  <c r="V30" i="87"/>
  <c r="V58" i="87"/>
  <c r="V70" i="87"/>
  <c r="V74" i="87"/>
  <c r="V82" i="87"/>
  <c r="V84" i="87"/>
  <c r="J14" i="88"/>
  <c r="J16" i="88"/>
  <c r="J18" i="88"/>
  <c r="J20" i="88"/>
  <c r="J59" i="91"/>
  <c r="J49" i="91"/>
  <c r="J39" i="91"/>
  <c r="J35" i="91"/>
  <c r="J31" i="91"/>
  <c r="J79" i="91"/>
  <c r="J78" i="91"/>
  <c r="J50" i="91"/>
  <c r="J40" i="91"/>
  <c r="J26" i="91"/>
  <c r="J22" i="91"/>
  <c r="J80" i="91"/>
  <c r="J69" i="91"/>
  <c r="J65" i="91"/>
  <c r="J51" i="91"/>
  <c r="J82" i="91"/>
  <c r="J60" i="91"/>
  <c r="J52" i="91"/>
  <c r="J42" i="91"/>
  <c r="J36" i="91"/>
  <c r="J32" i="91"/>
  <c r="N12" i="91"/>
  <c r="J53" i="91"/>
  <c r="J43" i="91"/>
  <c r="J27" i="91"/>
  <c r="J84" i="91"/>
  <c r="J70" i="91"/>
  <c r="J66" i="91"/>
  <c r="J54" i="91"/>
  <c r="J44" i="91"/>
  <c r="J71" i="91"/>
  <c r="J61" i="91"/>
  <c r="J55" i="91"/>
  <c r="J45" i="91"/>
  <c r="J37" i="91"/>
  <c r="J33" i="91"/>
  <c r="J19" i="91"/>
  <c r="J74" i="91"/>
  <c r="J62" i="91"/>
  <c r="J46" i="91"/>
  <c r="J38" i="91"/>
  <c r="J34" i="91"/>
  <c r="J30" i="91"/>
  <c r="J18" i="91"/>
  <c r="R19" i="91"/>
  <c r="J56" i="91"/>
  <c r="N63" i="91"/>
  <c r="J72" i="91"/>
  <c r="R38" i="92"/>
  <c r="N43" i="92"/>
  <c r="R51" i="92"/>
  <c r="R54" i="92"/>
  <c r="R80" i="92"/>
  <c r="V42" i="91"/>
  <c r="V50" i="91"/>
  <c r="F67" i="91"/>
  <c r="V80" i="91"/>
  <c r="V82" i="91"/>
  <c r="F86" i="91"/>
  <c r="F89" i="91"/>
  <c r="V46" i="92"/>
  <c r="V66" i="92"/>
  <c r="V69" i="92"/>
  <c r="V70" i="92"/>
  <c r="V32" i="93"/>
  <c r="V37" i="93"/>
  <c r="X45" i="93"/>
  <c r="L53" i="93"/>
  <c r="V56" i="93"/>
  <c r="J72" i="93"/>
  <c r="F78" i="94"/>
  <c r="F76" i="94"/>
  <c r="F67" i="94"/>
  <c r="F80" i="94"/>
  <c r="F49" i="94"/>
  <c r="F48" i="94"/>
  <c r="F85" i="94"/>
  <c r="F72" i="94"/>
  <c r="F71" i="94"/>
  <c r="F64" i="94"/>
  <c r="F63" i="94"/>
  <c r="F62" i="94"/>
  <c r="F43" i="94"/>
  <c r="F39" i="94"/>
  <c r="F35" i="94"/>
  <c r="F66" i="94"/>
  <c r="F59" i="94"/>
  <c r="F55" i="94"/>
  <c r="F30" i="94"/>
  <c r="F26" i="94"/>
  <c r="F73" i="94"/>
  <c r="F40" i="94"/>
  <c r="F36" i="94"/>
  <c r="F60" i="94"/>
  <c r="F56" i="94"/>
  <c r="F51" i="94"/>
  <c r="F46" i="94"/>
  <c r="F31" i="94"/>
  <c r="F27" i="94"/>
  <c r="F82" i="94"/>
  <c r="F70" i="94"/>
  <c r="F47" i="94"/>
  <c r="F18" i="94"/>
  <c r="F17" i="94"/>
  <c r="F41" i="94"/>
  <c r="F37" i="94"/>
  <c r="F68" i="94"/>
  <c r="F58" i="94"/>
  <c r="F29" i="94"/>
  <c r="F25" i="94"/>
  <c r="R35" i="94"/>
  <c r="F42" i="94"/>
  <c r="R62" i="94"/>
  <c r="V25" i="91"/>
  <c r="V49" i="91"/>
  <c r="F53" i="91"/>
  <c r="F54" i="91"/>
  <c r="V57" i="91"/>
  <c r="F66" i="91"/>
  <c r="F70" i="91"/>
  <c r="F84" i="91"/>
  <c r="Z15" i="92"/>
  <c r="V33" i="92"/>
  <c r="V37" i="92"/>
  <c r="V45" i="92"/>
  <c r="V51" i="92"/>
  <c r="V58" i="92"/>
  <c r="V59" i="92"/>
  <c r="V72" i="92"/>
  <c r="F16" i="93"/>
  <c r="J22" i="93"/>
  <c r="F25" i="93"/>
  <c r="F30" i="93"/>
  <c r="F33" i="93"/>
  <c r="J52" i="93"/>
  <c r="V53" i="93"/>
  <c r="V63" i="93"/>
  <c r="F69" i="93"/>
  <c r="Z22" i="94"/>
  <c r="F54" i="94"/>
  <c r="F61" i="94"/>
  <c r="F42" i="91"/>
  <c r="F43" i="91"/>
  <c r="V46" i="91"/>
  <c r="V58" i="91"/>
  <c r="V62" i="91"/>
  <c r="V74" i="91"/>
  <c r="F82" i="91"/>
  <c r="V52" i="92"/>
  <c r="V68" i="92"/>
  <c r="V78" i="92"/>
  <c r="V85" i="92"/>
  <c r="V28" i="93"/>
  <c r="V36" i="93"/>
  <c r="V44" i="93"/>
  <c r="V65" i="93"/>
  <c r="V72" i="93"/>
  <c r="R69" i="94"/>
  <c r="R68" i="94"/>
  <c r="R61" i="94"/>
  <c r="R60" i="94"/>
  <c r="R54" i="94"/>
  <c r="R53" i="94"/>
  <c r="R74" i="94"/>
  <c r="R76" i="94"/>
  <c r="R56" i="94"/>
  <c r="R73" i="94"/>
  <c r="R51" i="94"/>
  <c r="R31" i="94"/>
  <c r="R27" i="94"/>
  <c r="R70" i="94"/>
  <c r="R47" i="94"/>
  <c r="R23" i="94"/>
  <c r="R18" i="94"/>
  <c r="R71" i="94"/>
  <c r="R57" i="94"/>
  <c r="R48" i="94"/>
  <c r="R33" i="94"/>
  <c r="R32" i="94"/>
  <c r="R28" i="94"/>
  <c r="R24" i="94"/>
  <c r="P20" i="94"/>
  <c r="R20" i="94" s="1"/>
  <c r="R65" i="94"/>
  <c r="R42" i="94"/>
  <c r="R38" i="94"/>
  <c r="R34" i="94"/>
  <c r="X12" i="94"/>
  <c r="R29" i="94"/>
  <c r="R25" i="94"/>
  <c r="R55" i="94"/>
  <c r="R46" i="94"/>
  <c r="R45" i="94"/>
  <c r="D78" i="94"/>
  <c r="L20" i="94"/>
  <c r="F44" i="94"/>
  <c r="R66" i="94"/>
  <c r="Z56" i="95"/>
  <c r="X56" i="95"/>
  <c r="F36" i="91"/>
  <c r="V47" i="91"/>
  <c r="F51" i="91"/>
  <c r="F52" i="91"/>
  <c r="F60" i="91"/>
  <c r="V63" i="91"/>
  <c r="V67" i="91"/>
  <c r="V75" i="91"/>
  <c r="V43" i="92"/>
  <c r="P12" i="93"/>
  <c r="V41" i="93"/>
  <c r="L43" i="93"/>
  <c r="J62" i="93"/>
  <c r="V67" i="93"/>
  <c r="F20" i="94"/>
  <c r="R39" i="94"/>
  <c r="R49" i="94"/>
  <c r="R59" i="94"/>
  <c r="V56" i="95"/>
  <c r="V20" i="91"/>
  <c r="V24" i="91"/>
  <c r="V28" i="91"/>
  <c r="F40" i="91"/>
  <c r="F41" i="91"/>
  <c r="V56" i="91"/>
  <c r="F65" i="91"/>
  <c r="F69" i="91"/>
  <c r="V72" i="91"/>
  <c r="F78" i="91"/>
  <c r="F80" i="91"/>
  <c r="V73" i="92"/>
  <c r="V61" i="92"/>
  <c r="V53" i="92"/>
  <c r="V71" i="92"/>
  <c r="V32" i="92"/>
  <c r="V36" i="92"/>
  <c r="V40" i="92"/>
  <c r="V49" i="92"/>
  <c r="V50" i="92"/>
  <c r="X13" i="93"/>
  <c r="F32" i="93"/>
  <c r="J40" i="93"/>
  <c r="V47" i="93"/>
  <c r="J54" i="93"/>
  <c r="F59" i="93"/>
  <c r="V69" i="93"/>
  <c r="L71" i="93"/>
  <c r="F81" i="93"/>
  <c r="R17" i="94"/>
  <c r="H78" i="94"/>
  <c r="N20" i="94"/>
  <c r="F33" i="94"/>
  <c r="F74" i="94"/>
  <c r="F49" i="91"/>
  <c r="F50" i="91"/>
  <c r="V61" i="91"/>
  <c r="V73" i="91"/>
  <c r="F79" i="91"/>
  <c r="V41" i="92"/>
  <c r="V56" i="92"/>
  <c r="V57" i="92"/>
  <c r="V30" i="93"/>
  <c r="V33" i="93"/>
  <c r="F51" i="93"/>
  <c r="J81" i="93"/>
  <c r="F23" i="94"/>
  <c r="F28" i="94"/>
  <c r="F38" i="94"/>
  <c r="R41" i="94"/>
  <c r="F53" i="94"/>
  <c r="X59" i="94"/>
  <c r="V14" i="91"/>
  <c r="V16" i="91"/>
  <c r="V18" i="91"/>
  <c r="F31" i="91"/>
  <c r="F35" i="91"/>
  <c r="F39" i="91"/>
  <c r="V54" i="91"/>
  <c r="F58" i="91"/>
  <c r="F59" i="91"/>
  <c r="V66" i="91"/>
  <c r="V70" i="91"/>
  <c r="V84" i="91"/>
  <c r="V86" i="91"/>
  <c r="V89" i="91"/>
  <c r="Z12" i="92"/>
  <c r="V22" i="92"/>
  <c r="V26" i="92"/>
  <c r="V74" i="92"/>
  <c r="V76" i="92"/>
  <c r="V82" i="92"/>
  <c r="F86" i="93"/>
  <c r="F83" i="93"/>
  <c r="F72" i="93"/>
  <c r="F71" i="93"/>
  <c r="F56" i="93"/>
  <c r="F55" i="93"/>
  <c r="F44" i="93"/>
  <c r="F43" i="93"/>
  <c r="L12" i="93"/>
  <c r="F67" i="93"/>
  <c r="F63" i="93"/>
  <c r="F62" i="93"/>
  <c r="F73" i="93"/>
  <c r="F57" i="93"/>
  <c r="F68" i="93"/>
  <c r="F64" i="93"/>
  <c r="F48" i="93"/>
  <c r="F47" i="93"/>
  <c r="F40" i="93"/>
  <c r="F36" i="93"/>
  <c r="F75" i="93"/>
  <c r="F74" i="93"/>
  <c r="F31" i="93"/>
  <c r="F27" i="93"/>
  <c r="F23" i="93"/>
  <c r="F22" i="93"/>
  <c r="F58" i="93"/>
  <c r="F50" i="93"/>
  <c r="F49" i="93"/>
  <c r="F21" i="93"/>
  <c r="F19" i="93"/>
  <c r="F70" i="93"/>
  <c r="F66" i="93"/>
  <c r="F54" i="93"/>
  <c r="F53" i="93"/>
  <c r="F42" i="93"/>
  <c r="F38" i="93"/>
  <c r="F34" i="93"/>
  <c r="D19" i="93"/>
  <c r="J24" i="93"/>
  <c r="F29" i="93"/>
  <c r="F37" i="93"/>
  <c r="V46" i="93"/>
  <c r="J56" i="93"/>
  <c r="F61" i="93"/>
  <c r="J66" i="93"/>
  <c r="R26" i="94"/>
  <c r="R36" i="94"/>
  <c r="R44" i="94"/>
  <c r="R63" i="94"/>
  <c r="F65" i="94"/>
  <c r="X18" i="95"/>
  <c r="Z18" i="95" s="1"/>
  <c r="R18" i="95"/>
  <c r="V23" i="91"/>
  <c r="V27" i="91"/>
  <c r="V43" i="91"/>
  <c r="F47" i="91"/>
  <c r="F48" i="91"/>
  <c r="V55" i="91"/>
  <c r="F63" i="91"/>
  <c r="F64" i="91"/>
  <c r="F68" i="91"/>
  <c r="F75" i="91"/>
  <c r="V31" i="92"/>
  <c r="V35" i="92"/>
  <c r="V39" i="92"/>
  <c r="V47" i="92"/>
  <c r="V67" i="92"/>
  <c r="J67" i="93"/>
  <c r="J63" i="93"/>
  <c r="J45" i="93"/>
  <c r="J39" i="93"/>
  <c r="J35" i="93"/>
  <c r="J74" i="93"/>
  <c r="J68" i="93"/>
  <c r="J64" i="93"/>
  <c r="J48" i="93"/>
  <c r="J75" i="93"/>
  <c r="J49" i="93"/>
  <c r="J31" i="93"/>
  <c r="J27" i="93"/>
  <c r="J23" i="93"/>
  <c r="J21" i="93"/>
  <c r="J19" i="93"/>
  <c r="J58" i="93"/>
  <c r="J50" i="93"/>
  <c r="J32" i="93"/>
  <c r="J79" i="93"/>
  <c r="J77" i="93"/>
  <c r="J69" i="93"/>
  <c r="J65" i="93"/>
  <c r="J59" i="93"/>
  <c r="J51" i="93"/>
  <c r="J41" i="93"/>
  <c r="J37" i="93"/>
  <c r="J33" i="93"/>
  <c r="J86" i="93"/>
  <c r="J83" i="93"/>
  <c r="J71" i="93"/>
  <c r="J61" i="93"/>
  <c r="J55" i="93"/>
  <c r="J43" i="93"/>
  <c r="J29" i="93"/>
  <c r="J25" i="93"/>
  <c r="H19" i="93"/>
  <c r="V22" i="93"/>
  <c r="V35" i="93"/>
  <c r="V40" i="93"/>
  <c r="J42" i="93"/>
  <c r="F45" i="93"/>
  <c r="V64" i="93"/>
  <c r="X33" i="94"/>
  <c r="N48" i="94"/>
  <c r="F50" i="94"/>
  <c r="R72" i="94"/>
  <c r="V79" i="93"/>
  <c r="V77" i="93"/>
  <c r="V75" i="93"/>
  <c r="V59" i="93"/>
  <c r="V51" i="93"/>
  <c r="V31" i="93"/>
  <c r="V27" i="93"/>
  <c r="V23" i="93"/>
  <c r="V58" i="93"/>
  <c r="V60" i="93"/>
  <c r="V52" i="93"/>
  <c r="V86" i="93"/>
  <c r="V83" i="93"/>
  <c r="V81" i="93"/>
  <c r="V71" i="93"/>
  <c r="V55" i="93"/>
  <c r="V43" i="93"/>
  <c r="V70" i="93"/>
  <c r="V66" i="93"/>
  <c r="V62" i="93"/>
  <c r="V54" i="93"/>
  <c r="V42" i="93"/>
  <c r="V38" i="93"/>
  <c r="V34" i="93"/>
  <c r="V61" i="93"/>
  <c r="V45" i="93"/>
  <c r="V29" i="93"/>
  <c r="V25" i="93"/>
  <c r="V73" i="93"/>
  <c r="V57" i="93"/>
  <c r="V49" i="93"/>
  <c r="V21" i="93"/>
  <c r="V19" i="93"/>
  <c r="V17" i="93"/>
  <c r="V24" i="93"/>
  <c r="L45" i="93"/>
  <c r="V48" i="93"/>
  <c r="V68" i="93"/>
  <c r="J67" i="94"/>
  <c r="J80" i="94"/>
  <c r="J58" i="94"/>
  <c r="J85" i="94"/>
  <c r="J82" i="94"/>
  <c r="J68" i="94"/>
  <c r="J60" i="94"/>
  <c r="J50" i="94"/>
  <c r="J72" i="94"/>
  <c r="J64" i="94"/>
  <c r="J73" i="94"/>
  <c r="J65" i="94"/>
  <c r="J55" i="94"/>
  <c r="Z20" i="94"/>
  <c r="V36" i="94"/>
  <c r="V40" i="94"/>
  <c r="X50" i="94"/>
  <c r="J62" i="94"/>
  <c r="L65" i="94"/>
  <c r="V73" i="94"/>
  <c r="F21" i="95"/>
  <c r="Z62" i="95"/>
  <c r="F69" i="95"/>
  <c r="Z75" i="95"/>
  <c r="T91" i="97"/>
  <c r="F19" i="98"/>
  <c r="F17" i="98"/>
  <c r="F15" i="98"/>
  <c r="D17" i="98"/>
  <c r="F23" i="98"/>
  <c r="L12" i="98"/>
  <c r="F27" i="98"/>
  <c r="F21" i="98"/>
  <c r="F20" i="98"/>
  <c r="V71" i="94"/>
  <c r="V63" i="94"/>
  <c r="V51" i="94"/>
  <c r="V70" i="94"/>
  <c r="V62" i="94"/>
  <c r="V72" i="94"/>
  <c r="V64" i="94"/>
  <c r="V56" i="94"/>
  <c r="V67" i="94"/>
  <c r="V59" i="94"/>
  <c r="V47" i="94"/>
  <c r="J20" i="94"/>
  <c r="J22" i="94"/>
  <c r="J24" i="94"/>
  <c r="J28" i="94"/>
  <c r="J32" i="94"/>
  <c r="V44" i="94"/>
  <c r="V49" i="94"/>
  <c r="X54" i="94"/>
  <c r="J57" i="94"/>
  <c r="V58" i="94"/>
  <c r="J61" i="94"/>
  <c r="V76" i="94"/>
  <c r="V73" i="95"/>
  <c r="V57" i="95"/>
  <c r="V49" i="95"/>
  <c r="V33" i="95"/>
  <c r="V29" i="95"/>
  <c r="V94" i="95"/>
  <c r="V92" i="95"/>
  <c r="V84" i="95"/>
  <c r="V72" i="95"/>
  <c r="V68" i="95"/>
  <c r="V60" i="95"/>
  <c r="V48" i="95"/>
  <c r="V20" i="95"/>
  <c r="V79" i="95"/>
  <c r="V75" i="95"/>
  <c r="V59" i="95"/>
  <c r="V51" i="95"/>
  <c r="V43" i="95"/>
  <c r="V39" i="95"/>
  <c r="V86" i="95"/>
  <c r="V74" i="95"/>
  <c r="V62" i="95"/>
  <c r="V50" i="95"/>
  <c r="V34" i="95"/>
  <c r="V30" i="95"/>
  <c r="V26" i="95"/>
  <c r="V85" i="95"/>
  <c r="V69" i="95"/>
  <c r="V61" i="95"/>
  <c r="V53" i="95"/>
  <c r="V25" i="95"/>
  <c r="V21" i="95"/>
  <c r="V98" i="95"/>
  <c r="V88" i="95"/>
  <c r="V80" i="95"/>
  <c r="V76" i="95"/>
  <c r="V64" i="95"/>
  <c r="V52" i="95"/>
  <c r="V44" i="95"/>
  <c r="V40" i="95"/>
  <c r="V36" i="95"/>
  <c r="T23" i="95"/>
  <c r="V87" i="95"/>
  <c r="V63" i="95"/>
  <c r="V35" i="95"/>
  <c r="V31" i="95"/>
  <c r="V27" i="95"/>
  <c r="V70" i="95"/>
  <c r="V54" i="95"/>
  <c r="V18" i="95"/>
  <c r="V89" i="95"/>
  <c r="V81" i="95"/>
  <c r="V77" i="95"/>
  <c r="V65" i="95"/>
  <c r="V45" i="95"/>
  <c r="V41" i="95"/>
  <c r="V37" i="95"/>
  <c r="V90" i="95"/>
  <c r="V82" i="95"/>
  <c r="V78" i="95"/>
  <c r="V66" i="95"/>
  <c r="V58" i="95"/>
  <c r="V46" i="95"/>
  <c r="F26" i="95"/>
  <c r="L51" i="95"/>
  <c r="Z67" i="95"/>
  <c r="Z51" i="99"/>
  <c r="J37" i="94"/>
  <c r="J41" i="94"/>
  <c r="J52" i="94"/>
  <c r="H96" i="95"/>
  <c r="J96" i="95" s="1"/>
  <c r="L26" i="95"/>
  <c r="N26" i="95" s="1"/>
  <c r="Z12" i="94"/>
  <c r="J18" i="94"/>
  <c r="V34" i="94"/>
  <c r="V38" i="94"/>
  <c r="V42" i="94"/>
  <c r="J47" i="94"/>
  <c r="L52" i="94"/>
  <c r="V53" i="94"/>
  <c r="V54" i="94"/>
  <c r="J70" i="94"/>
  <c r="L73" i="94"/>
  <c r="V74" i="94"/>
  <c r="J78" i="94"/>
  <c r="Z12" i="95"/>
  <c r="J23" i="95"/>
  <c r="J26" i="95"/>
  <c r="R32" i="95"/>
  <c r="V42" i="95"/>
  <c r="N51" i="95"/>
  <c r="N53" i="95"/>
  <c r="R65" i="95"/>
  <c r="R81" i="95"/>
  <c r="Z83" i="95"/>
  <c r="R89" i="95"/>
  <c r="Z91" i="95"/>
  <c r="L14" i="99"/>
  <c r="D16" i="99"/>
  <c r="J27" i="94"/>
  <c r="J31" i="94"/>
  <c r="J51" i="94"/>
  <c r="V65" i="94"/>
  <c r="L69" i="94"/>
  <c r="R28" i="95"/>
  <c r="V32" i="95"/>
  <c r="V55" i="95"/>
  <c r="V83" i="95"/>
  <c r="V91" i="95"/>
  <c r="J45" i="94"/>
  <c r="V48" i="94"/>
  <c r="V60" i="94"/>
  <c r="J63" i="94"/>
  <c r="V78" i="94"/>
  <c r="V82" i="94"/>
  <c r="L62" i="95"/>
  <c r="N62" i="95" s="1"/>
  <c r="F75" i="95"/>
  <c r="N86" i="95"/>
  <c r="L86" i="95"/>
  <c r="T60" i="99"/>
  <c r="V18" i="94"/>
  <c r="V20" i="94"/>
  <c r="V22" i="94"/>
  <c r="J26" i="94"/>
  <c r="J30" i="94"/>
  <c r="J44" i="94"/>
  <c r="V52" i="94"/>
  <c r="J66" i="94"/>
  <c r="J69" i="94"/>
  <c r="J25" i="95"/>
  <c r="F31" i="95"/>
  <c r="R45" i="95"/>
  <c r="Z47" i="95"/>
  <c r="F60" i="95"/>
  <c r="J62" i="95"/>
  <c r="N75" i="95"/>
  <c r="F80" i="95"/>
  <c r="J86" i="95"/>
  <c r="J59" i="94"/>
  <c r="J76" i="94"/>
  <c r="R91" i="95"/>
  <c r="R90" i="95"/>
  <c r="R83" i="95"/>
  <c r="R82" i="95"/>
  <c r="R78" i="95"/>
  <c r="R67" i="95"/>
  <c r="R66" i="95"/>
  <c r="R47" i="95"/>
  <c r="R46" i="95"/>
  <c r="R42" i="95"/>
  <c r="R38" i="95"/>
  <c r="R58" i="95"/>
  <c r="R57" i="95"/>
  <c r="R33" i="95"/>
  <c r="R29" i="95"/>
  <c r="R92" i="95"/>
  <c r="R84" i="95"/>
  <c r="R73" i="95"/>
  <c r="R72" i="95"/>
  <c r="R68" i="95"/>
  <c r="R49" i="95"/>
  <c r="R48" i="95"/>
  <c r="R20" i="95"/>
  <c r="R94" i="95"/>
  <c r="R79" i="95"/>
  <c r="R60" i="95"/>
  <c r="R59" i="95"/>
  <c r="R43" i="95"/>
  <c r="R39" i="95"/>
  <c r="R75" i="95"/>
  <c r="R74" i="95"/>
  <c r="R51" i="95"/>
  <c r="R50" i="95"/>
  <c r="R34" i="95"/>
  <c r="R30" i="95"/>
  <c r="R86" i="95"/>
  <c r="R85" i="95"/>
  <c r="R69" i="95"/>
  <c r="R62" i="95"/>
  <c r="R61" i="95"/>
  <c r="R26" i="95"/>
  <c r="R21" i="95"/>
  <c r="R98" i="95"/>
  <c r="R80" i="95"/>
  <c r="R76" i="95"/>
  <c r="R53" i="95"/>
  <c r="R52" i="95"/>
  <c r="R44" i="95"/>
  <c r="R40" i="95"/>
  <c r="R25" i="95"/>
  <c r="R88" i="95"/>
  <c r="R87" i="95"/>
  <c r="R64" i="95"/>
  <c r="R63" i="95"/>
  <c r="R36" i="95"/>
  <c r="R35" i="95"/>
  <c r="R31" i="95"/>
  <c r="R27" i="95"/>
  <c r="P23" i="95"/>
  <c r="R23" i="95" s="1"/>
  <c r="R70" i="95"/>
  <c r="R54" i="95"/>
  <c r="R71" i="95"/>
  <c r="R56" i="95"/>
  <c r="R55" i="95"/>
  <c r="F70" i="95"/>
  <c r="F54" i="95"/>
  <c r="F53" i="95"/>
  <c r="F25" i="95"/>
  <c r="F89" i="95"/>
  <c r="F88" i="95"/>
  <c r="F81" i="95"/>
  <c r="F77" i="95"/>
  <c r="F65" i="95"/>
  <c r="F64" i="95"/>
  <c r="F45" i="95"/>
  <c r="F41" i="95"/>
  <c r="F37" i="95"/>
  <c r="F36" i="95"/>
  <c r="D23" i="95"/>
  <c r="F32" i="95"/>
  <c r="F28" i="95"/>
  <c r="L12" i="95"/>
  <c r="N12" i="95" s="1"/>
  <c r="F71" i="95"/>
  <c r="F55" i="95"/>
  <c r="F19" i="95"/>
  <c r="F18" i="95"/>
  <c r="F90" i="95"/>
  <c r="F82" i="95"/>
  <c r="F78" i="95"/>
  <c r="F66" i="95"/>
  <c r="F46" i="95"/>
  <c r="F42" i="95"/>
  <c r="F38" i="95"/>
  <c r="F57" i="95"/>
  <c r="F56" i="95"/>
  <c r="F33" i="95"/>
  <c r="F29" i="95"/>
  <c r="F92" i="95"/>
  <c r="F91" i="95"/>
  <c r="F84" i="95"/>
  <c r="F83" i="95"/>
  <c r="F72" i="95"/>
  <c r="F68" i="95"/>
  <c r="F67" i="95"/>
  <c r="F48" i="95"/>
  <c r="F47" i="95"/>
  <c r="F20" i="95"/>
  <c r="F79" i="95"/>
  <c r="F59" i="95"/>
  <c r="F58" i="95"/>
  <c r="F43" i="95"/>
  <c r="F39" i="95"/>
  <c r="F74" i="95"/>
  <c r="F73" i="95"/>
  <c r="F50" i="95"/>
  <c r="F49" i="95"/>
  <c r="F34" i="95"/>
  <c r="F30" i="95"/>
  <c r="F87" i="95"/>
  <c r="F86" i="95"/>
  <c r="F63" i="95"/>
  <c r="F62" i="95"/>
  <c r="L25" i="95"/>
  <c r="N25" i="95" s="1"/>
  <c r="F27" i="95"/>
  <c r="V47" i="95"/>
  <c r="F52" i="95"/>
  <c r="N20" i="98"/>
  <c r="L20" i="98"/>
  <c r="J88" i="95"/>
  <c r="J49" i="97"/>
  <c r="J27" i="97"/>
  <c r="J23" i="97"/>
  <c r="J21" i="97"/>
  <c r="J19" i="97"/>
  <c r="J86" i="97"/>
  <c r="J74" i="97"/>
  <c r="J70" i="97"/>
  <c r="J66" i="97"/>
  <c r="J58" i="97"/>
  <c r="J50" i="97"/>
  <c r="J75" i="97"/>
  <c r="J59" i="97"/>
  <c r="J51" i="97"/>
  <c r="J41" i="97"/>
  <c r="J37" i="97"/>
  <c r="J33" i="97"/>
  <c r="J91" i="97"/>
  <c r="J88" i="97"/>
  <c r="J76" i="97"/>
  <c r="J60" i="97"/>
  <c r="J52" i="97"/>
  <c r="J42" i="97"/>
  <c r="J28" i="97"/>
  <c r="J24" i="97"/>
  <c r="J71" i="97"/>
  <c r="J67" i="97"/>
  <c r="J53" i="97"/>
  <c r="J43" i="97"/>
  <c r="J54" i="97"/>
  <c r="J44" i="97"/>
  <c r="J38" i="97"/>
  <c r="J34" i="97"/>
  <c r="J77" i="97"/>
  <c r="J61" i="97"/>
  <c r="J55" i="97"/>
  <c r="J45" i="97"/>
  <c r="J29" i="97"/>
  <c r="J25" i="97"/>
  <c r="J78" i="97"/>
  <c r="J72" i="97"/>
  <c r="J68" i="97"/>
  <c r="J62" i="97"/>
  <c r="J56" i="97"/>
  <c r="J46" i="97"/>
  <c r="J79" i="97"/>
  <c r="J63" i="97"/>
  <c r="J47" i="97"/>
  <c r="J39" i="97"/>
  <c r="J35" i="97"/>
  <c r="J84" i="97"/>
  <c r="J48" i="97"/>
  <c r="J40" i="97"/>
  <c r="J36" i="97"/>
  <c r="J32" i="97"/>
  <c r="J22" i="97"/>
  <c r="J69" i="97"/>
  <c r="J82" i="97"/>
  <c r="X53" i="99"/>
  <c r="Z53" i="99" s="1"/>
  <c r="P51" i="99"/>
  <c r="X51" i="99" s="1"/>
  <c r="L18" i="100"/>
  <c r="N18" i="100" s="1"/>
  <c r="J21" i="95"/>
  <c r="J51" i="95"/>
  <c r="J61" i="95"/>
  <c r="J69" i="95"/>
  <c r="J75" i="95"/>
  <c r="J85" i="95"/>
  <c r="X51" i="97"/>
  <c r="N19" i="99"/>
  <c r="J30" i="95"/>
  <c r="J34" i="95"/>
  <c r="J50" i="95"/>
  <c r="J60" i="95"/>
  <c r="J74" i="95"/>
  <c r="J94" i="95"/>
  <c r="L16" i="97"/>
  <c r="X59" i="97"/>
  <c r="J39" i="95"/>
  <c r="J43" i="95"/>
  <c r="J49" i="95"/>
  <c r="J59" i="95"/>
  <c r="J73" i="95"/>
  <c r="J79" i="95"/>
  <c r="J31" i="97"/>
  <c r="J81" i="97"/>
  <c r="J48" i="95"/>
  <c r="J58" i="95"/>
  <c r="J68" i="95"/>
  <c r="J72" i="95"/>
  <c r="J84" i="95"/>
  <c r="J92" i="95"/>
  <c r="J16" i="97"/>
  <c r="J47" i="95"/>
  <c r="J57" i="95"/>
  <c r="J67" i="95"/>
  <c r="J83" i="95"/>
  <c r="J91" i="95"/>
  <c r="L64" i="97"/>
  <c r="Z28" i="99"/>
  <c r="X13" i="95"/>
  <c r="Z13" i="95" s="1"/>
  <c r="J38" i="95"/>
  <c r="J42" i="95"/>
  <c r="J46" i="95"/>
  <c r="J56" i="95"/>
  <c r="J66" i="95"/>
  <c r="J78" i="95"/>
  <c r="J82" i="95"/>
  <c r="J90" i="95"/>
  <c r="P12" i="97"/>
  <c r="X16" i="97"/>
  <c r="H19" i="97"/>
  <c r="X42" i="97"/>
  <c r="J55" i="95"/>
  <c r="L56" i="95"/>
  <c r="N56" i="95" s="1"/>
  <c r="X62" i="95"/>
  <c r="J71" i="95"/>
  <c r="X86" i="95"/>
  <c r="J30" i="97"/>
  <c r="J64" i="97"/>
  <c r="Z39" i="99"/>
  <c r="J28" i="95"/>
  <c r="J32" i="95"/>
  <c r="J26" i="97"/>
  <c r="H30" i="100"/>
  <c r="N16" i="100"/>
  <c r="J37" i="95"/>
  <c r="J41" i="95"/>
  <c r="J45" i="95"/>
  <c r="J65" i="95"/>
  <c r="J77" i="95"/>
  <c r="J81" i="95"/>
  <c r="D12" i="97"/>
  <c r="Z16" i="97"/>
  <c r="J73" i="97"/>
  <c r="N21" i="100"/>
  <c r="L21" i="100"/>
  <c r="N29" i="102"/>
  <c r="V24" i="97"/>
  <c r="V28" i="97"/>
  <c r="V44" i="97"/>
  <c r="V52" i="97"/>
  <c r="V60" i="97"/>
  <c r="V76" i="97"/>
  <c r="H17" i="98"/>
  <c r="R27" i="98"/>
  <c r="X12" i="99"/>
  <c r="X14" i="99"/>
  <c r="V27" i="99"/>
  <c r="J31" i="99"/>
  <c r="R32" i="99"/>
  <c r="J35" i="99"/>
  <c r="R36" i="99"/>
  <c r="F39" i="99"/>
  <c r="F40" i="99"/>
  <c r="J41" i="99"/>
  <c r="V43" i="99"/>
  <c r="J51" i="99"/>
  <c r="J52" i="99"/>
  <c r="D16" i="100"/>
  <c r="V46" i="101"/>
  <c r="V43" i="101"/>
  <c r="V41" i="101"/>
  <c r="V31" i="101"/>
  <c r="V30" i="101"/>
  <c r="V22" i="101"/>
  <c r="V32" i="101"/>
  <c r="V34" i="101"/>
  <c r="V33" i="101"/>
  <c r="V25" i="101"/>
  <c r="T16" i="101"/>
  <c r="V24" i="101"/>
  <c r="V20" i="101"/>
  <c r="V39" i="101"/>
  <c r="V37" i="101"/>
  <c r="V35" i="101"/>
  <c r="V27" i="101"/>
  <c r="V28" i="101"/>
  <c r="L18" i="102"/>
  <c r="N18" i="102" s="1"/>
  <c r="X40" i="102"/>
  <c r="L50" i="103"/>
  <c r="N50" i="103" s="1"/>
  <c r="Z74" i="103"/>
  <c r="V23" i="97"/>
  <c r="V27" i="97"/>
  <c r="V51" i="97"/>
  <c r="V59" i="97"/>
  <c r="V75" i="97"/>
  <c r="R23" i="98"/>
  <c r="F14" i="99"/>
  <c r="F16" i="99"/>
  <c r="F18" i="99"/>
  <c r="V22" i="99"/>
  <c r="V26" i="99"/>
  <c r="J30" i="99"/>
  <c r="R31" i="99"/>
  <c r="J34" i="99"/>
  <c r="R35" i="99"/>
  <c r="J38" i="99"/>
  <c r="V42" i="99"/>
  <c r="F46" i="99"/>
  <c r="F47" i="99"/>
  <c r="J48" i="99"/>
  <c r="R53" i="99"/>
  <c r="V54" i="99"/>
  <c r="V56" i="99"/>
  <c r="F60" i="99"/>
  <c r="F63" i="99"/>
  <c r="J14" i="100"/>
  <c r="J16" i="100"/>
  <c r="J18" i="100"/>
  <c r="J20" i="100"/>
  <c r="V24" i="100"/>
  <c r="J34" i="100"/>
  <c r="R37" i="100"/>
  <c r="Z27" i="101"/>
  <c r="L14" i="102"/>
  <c r="V84" i="103"/>
  <c r="V68" i="103"/>
  <c r="V60" i="103"/>
  <c r="V48" i="103"/>
  <c r="V20" i="103"/>
  <c r="V86" i="103"/>
  <c r="V79" i="103"/>
  <c r="V75" i="103"/>
  <c r="V59" i="103"/>
  <c r="V47" i="103"/>
  <c r="V43" i="103"/>
  <c r="V39" i="103"/>
  <c r="V70" i="103"/>
  <c r="V62" i="103"/>
  <c r="V50" i="103"/>
  <c r="V34" i="103"/>
  <c r="V30" i="103"/>
  <c r="V26" i="103"/>
  <c r="V90" i="103"/>
  <c r="V61" i="103"/>
  <c r="V49" i="103"/>
  <c r="V25" i="103"/>
  <c r="V23" i="103"/>
  <c r="V21" i="103"/>
  <c r="V80" i="103"/>
  <c r="V76" i="103"/>
  <c r="V64" i="103"/>
  <c r="V52" i="103"/>
  <c r="V44" i="103"/>
  <c r="V40" i="103"/>
  <c r="T23" i="103"/>
  <c r="V71" i="103"/>
  <c r="V63" i="103"/>
  <c r="V51" i="103"/>
  <c r="V35" i="103"/>
  <c r="V31" i="103"/>
  <c r="V27" i="103"/>
  <c r="V66" i="103"/>
  <c r="V54" i="103"/>
  <c r="V18" i="103"/>
  <c r="V81" i="103"/>
  <c r="V77" i="103"/>
  <c r="V65" i="103"/>
  <c r="V53" i="103"/>
  <c r="V45" i="103"/>
  <c r="V41" i="103"/>
  <c r="V37" i="103"/>
  <c r="V72" i="103"/>
  <c r="V56" i="103"/>
  <c r="V36" i="103"/>
  <c r="V32" i="103"/>
  <c r="V28" i="103"/>
  <c r="V73" i="103"/>
  <c r="V69" i="103"/>
  <c r="V57" i="103"/>
  <c r="V33" i="103"/>
  <c r="V29" i="103"/>
  <c r="V19" i="103"/>
  <c r="N26" i="103"/>
  <c r="V46" i="103"/>
  <c r="N58" i="103"/>
  <c r="N62" i="103"/>
  <c r="V82" i="103"/>
  <c r="V32" i="97"/>
  <c r="V36" i="97"/>
  <c r="V40" i="97"/>
  <c r="V48" i="97"/>
  <c r="P17" i="98"/>
  <c r="H16" i="99"/>
  <c r="F19" i="99"/>
  <c r="F20" i="99"/>
  <c r="F24" i="99"/>
  <c r="V31" i="99"/>
  <c r="V35" i="99"/>
  <c r="R40" i="99"/>
  <c r="R41" i="99"/>
  <c r="J47" i="99"/>
  <c r="R51" i="99"/>
  <c r="R52" i="99"/>
  <c r="V53" i="99"/>
  <c r="J19" i="100"/>
  <c r="R22" i="100"/>
  <c r="R23" i="100"/>
  <c r="V25" i="100"/>
  <c r="F32" i="100"/>
  <c r="F39" i="101"/>
  <c r="X12" i="103"/>
  <c r="Z12" i="103" s="1"/>
  <c r="V42" i="103"/>
  <c r="V21" i="97"/>
  <c r="V49" i="97"/>
  <c r="V57" i="97"/>
  <c r="V65" i="97"/>
  <c r="V69" i="97"/>
  <c r="V73" i="97"/>
  <c r="L13" i="98"/>
  <c r="R15" i="98"/>
  <c r="R17" i="98"/>
  <c r="R19" i="98"/>
  <c r="V21" i="98"/>
  <c r="V23" i="98"/>
  <c r="V25" i="98"/>
  <c r="J14" i="99"/>
  <c r="J16" i="99"/>
  <c r="J18" i="99"/>
  <c r="J20" i="99"/>
  <c r="R21" i="99"/>
  <c r="J24" i="99"/>
  <c r="R25" i="99"/>
  <c r="F28" i="99"/>
  <c r="F29" i="99"/>
  <c r="F33" i="99"/>
  <c r="F37" i="99"/>
  <c r="V40" i="99"/>
  <c r="F44" i="99"/>
  <c r="F45" i="99"/>
  <c r="J46" i="99"/>
  <c r="R49" i="99"/>
  <c r="V52" i="99"/>
  <c r="J60" i="99"/>
  <c r="J63" i="99"/>
  <c r="V22" i="100"/>
  <c r="J32" i="100"/>
  <c r="V37" i="100"/>
  <c r="V29" i="101"/>
  <c r="X56" i="103"/>
  <c r="Z58" i="103"/>
  <c r="V22" i="97"/>
  <c r="V26" i="97"/>
  <c r="V30" i="97"/>
  <c r="V82" i="97"/>
  <c r="V84" i="97"/>
  <c r="T17" i="98"/>
  <c r="R20" i="98"/>
  <c r="J19" i="99"/>
  <c r="V25" i="99"/>
  <c r="J29" i="99"/>
  <c r="R30" i="99"/>
  <c r="J33" i="99"/>
  <c r="R34" i="99"/>
  <c r="J37" i="99"/>
  <c r="R38" i="99"/>
  <c r="R39" i="99"/>
  <c r="V41" i="99"/>
  <c r="J45" i="99"/>
  <c r="V49" i="99"/>
  <c r="V51" i="99"/>
  <c r="F58" i="99"/>
  <c r="P16" i="100"/>
  <c r="V23" i="100"/>
  <c r="V26" i="101"/>
  <c r="D12" i="103"/>
  <c r="J23" i="103"/>
  <c r="V38" i="103"/>
  <c r="V58" i="103"/>
  <c r="V35" i="97"/>
  <c r="V39" i="97"/>
  <c r="V47" i="97"/>
  <c r="V63" i="97"/>
  <c r="V79" i="97"/>
  <c r="V81" i="97"/>
  <c r="V15" i="98"/>
  <c r="V17" i="98"/>
  <c r="V19" i="98"/>
  <c r="J29" i="98"/>
  <c r="J32" i="98"/>
  <c r="F23" i="99"/>
  <c r="F27" i="99"/>
  <c r="J28" i="99"/>
  <c r="V30" i="99"/>
  <c r="V34" i="99"/>
  <c r="V38" i="99"/>
  <c r="F43" i="99"/>
  <c r="J44" i="99"/>
  <c r="R47" i="99"/>
  <c r="R48" i="99"/>
  <c r="F56" i="99"/>
  <c r="J58" i="99"/>
  <c r="J28" i="100"/>
  <c r="J30" i="100"/>
  <c r="Z56" i="103"/>
  <c r="V56" i="97"/>
  <c r="V64" i="97"/>
  <c r="V68" i="97"/>
  <c r="V72" i="97"/>
  <c r="L12" i="99"/>
  <c r="P16" i="99"/>
  <c r="R20" i="99"/>
  <c r="J23" i="99"/>
  <c r="R24" i="99"/>
  <c r="J27" i="99"/>
  <c r="F32" i="99"/>
  <c r="F36" i="99"/>
  <c r="V39" i="99"/>
  <c r="J43" i="99"/>
  <c r="V47" i="99"/>
  <c r="T16" i="100"/>
  <c r="R19" i="100"/>
  <c r="V21" i="100"/>
  <c r="F25" i="100"/>
  <c r="F26" i="100"/>
  <c r="R32" i="100"/>
  <c r="V21" i="101"/>
  <c r="N25" i="103"/>
  <c r="V78" i="103"/>
  <c r="V25" i="97"/>
  <c r="V29" i="97"/>
  <c r="V45" i="97"/>
  <c r="V61" i="97"/>
  <c r="V77" i="97"/>
  <c r="J27" i="98"/>
  <c r="N12" i="99"/>
  <c r="R14" i="99"/>
  <c r="R16" i="99"/>
  <c r="R18" i="99"/>
  <c r="V24" i="99"/>
  <c r="R29" i="99"/>
  <c r="J32" i="99"/>
  <c r="R33" i="99"/>
  <c r="J36" i="99"/>
  <c r="R37" i="99"/>
  <c r="X39" i="99"/>
  <c r="R45" i="99"/>
  <c r="R46" i="99"/>
  <c r="V48" i="99"/>
  <c r="F54" i="99"/>
  <c r="J56" i="99"/>
  <c r="R60" i="99"/>
  <c r="R63" i="99"/>
  <c r="V14" i="100"/>
  <c r="V16" i="100"/>
  <c r="V18" i="100"/>
  <c r="J26" i="100"/>
  <c r="V32" i="100"/>
  <c r="V34" i="100"/>
  <c r="F24" i="101"/>
  <c r="F20" i="101"/>
  <c r="F19" i="101"/>
  <c r="F35" i="101"/>
  <c r="F34" i="101"/>
  <c r="F18" i="101"/>
  <c r="F16" i="101"/>
  <c r="F14" i="101"/>
  <c r="F26" i="101"/>
  <c r="F25" i="101"/>
  <c r="D16" i="101"/>
  <c r="F41" i="101"/>
  <c r="F30" i="101"/>
  <c r="F29" i="101"/>
  <c r="F22" i="101"/>
  <c r="F46" i="101"/>
  <c r="F43" i="101"/>
  <c r="F32" i="101"/>
  <c r="F31" i="101"/>
  <c r="L12" i="101"/>
  <c r="F33" i="101"/>
  <c r="V14" i="101"/>
  <c r="V19" i="101"/>
  <c r="N19" i="102"/>
  <c r="X83" i="103"/>
  <c r="Z83" i="103" s="1"/>
  <c r="H88" i="103"/>
  <c r="J88" i="103" s="1"/>
  <c r="R24" i="104"/>
  <c r="R22" i="104"/>
  <c r="R26" i="104"/>
  <c r="X12" i="104"/>
  <c r="R20" i="104"/>
  <c r="P16" i="104"/>
  <c r="R31" i="104"/>
  <c r="R14" i="104"/>
  <c r="R18" i="104"/>
  <c r="R28" i="104"/>
  <c r="R19" i="104"/>
  <c r="V34" i="97"/>
  <c r="V38" i="97"/>
  <c r="V46" i="97"/>
  <c r="V54" i="97"/>
  <c r="L59" i="97"/>
  <c r="V62" i="97"/>
  <c r="V78" i="97"/>
  <c r="R19" i="99"/>
  <c r="F22" i="99"/>
  <c r="F26" i="99"/>
  <c r="V29" i="99"/>
  <c r="V33" i="99"/>
  <c r="V37" i="99"/>
  <c r="F41" i="99"/>
  <c r="F42" i="99"/>
  <c r="V45" i="99"/>
  <c r="F51" i="99"/>
  <c r="F53" i="99"/>
  <c r="J54" i="99"/>
  <c r="R58" i="99"/>
  <c r="V19" i="100"/>
  <c r="J25" i="100"/>
  <c r="J35" i="101"/>
  <c r="J25" i="101"/>
  <c r="H16" i="101"/>
  <c r="J26" i="101"/>
  <c r="J39" i="101"/>
  <c r="J37" i="101"/>
  <c r="J27" i="101"/>
  <c r="J21" i="101"/>
  <c r="J28" i="101"/>
  <c r="J30" i="101"/>
  <c r="J46" i="101"/>
  <c r="J43" i="101"/>
  <c r="J31" i="101"/>
  <c r="J32" i="101"/>
  <c r="N12" i="101"/>
  <c r="J23" i="101"/>
  <c r="J34" i="101"/>
  <c r="J24" i="101"/>
  <c r="J20" i="101"/>
  <c r="J18" i="101"/>
  <c r="J16" i="101"/>
  <c r="J14" i="101"/>
  <c r="V23" i="101"/>
  <c r="H16" i="102"/>
  <c r="V67" i="103"/>
  <c r="N74" i="103"/>
  <c r="V83" i="103"/>
  <c r="V43" i="97"/>
  <c r="V55" i="97"/>
  <c r="V67" i="97"/>
  <c r="J23" i="98"/>
  <c r="V14" i="99"/>
  <c r="V16" i="99"/>
  <c r="V18" i="99"/>
  <c r="J22" i="99"/>
  <c r="R23" i="99"/>
  <c r="J26" i="99"/>
  <c r="R27" i="99"/>
  <c r="R28" i="99"/>
  <c r="F31" i="99"/>
  <c r="F35" i="99"/>
  <c r="J42" i="99"/>
  <c r="R43" i="99"/>
  <c r="V46" i="99"/>
  <c r="V58" i="99"/>
  <c r="V60" i="99"/>
  <c r="R28" i="100"/>
  <c r="V18" i="101"/>
  <c r="F27" i="101"/>
  <c r="F37" i="101"/>
  <c r="N42" i="102"/>
  <c r="Z25" i="103"/>
  <c r="V55" i="103"/>
  <c r="R21" i="101"/>
  <c r="D16" i="102"/>
  <c r="J21" i="102"/>
  <c r="R22" i="102"/>
  <c r="J25" i="102"/>
  <c r="R26" i="102"/>
  <c r="F29" i="102"/>
  <c r="F30" i="102"/>
  <c r="F34" i="102"/>
  <c r="F38" i="102"/>
  <c r="V41" i="102"/>
  <c r="J45" i="102"/>
  <c r="V49" i="102"/>
  <c r="R90" i="103"/>
  <c r="R38" i="103"/>
  <c r="R42" i="103"/>
  <c r="R46" i="103"/>
  <c r="J53" i="103"/>
  <c r="J65" i="103"/>
  <c r="J77" i="103"/>
  <c r="R78" i="103"/>
  <c r="J81" i="103"/>
  <c r="R82" i="103"/>
  <c r="R83" i="103"/>
  <c r="Z14" i="104"/>
  <c r="X14" i="104"/>
  <c r="P16" i="101"/>
  <c r="R20" i="101"/>
  <c r="R24" i="101"/>
  <c r="R25" i="101"/>
  <c r="J14" i="102"/>
  <c r="J16" i="102"/>
  <c r="J18" i="102"/>
  <c r="J20" i="102"/>
  <c r="R21" i="102"/>
  <c r="J24" i="102"/>
  <c r="R25" i="102"/>
  <c r="J28" i="102"/>
  <c r="F33" i="102"/>
  <c r="F37" i="102"/>
  <c r="V40" i="102"/>
  <c r="J44" i="102"/>
  <c r="R45" i="102"/>
  <c r="R46" i="102"/>
  <c r="J52" i="102"/>
  <c r="V58" i="102"/>
  <c r="V60" i="102"/>
  <c r="V63" i="102"/>
  <c r="R18" i="103"/>
  <c r="J26" i="103"/>
  <c r="J40" i="103"/>
  <c r="R41" i="103"/>
  <c r="J44" i="103"/>
  <c r="R45" i="103"/>
  <c r="J50" i="103"/>
  <c r="R53" i="103"/>
  <c r="R54" i="103"/>
  <c r="J62" i="103"/>
  <c r="R65" i="103"/>
  <c r="R66" i="103"/>
  <c r="J76" i="103"/>
  <c r="R77" i="103"/>
  <c r="J80" i="103"/>
  <c r="R81" i="103"/>
  <c r="T16" i="104"/>
  <c r="N90" i="105"/>
  <c r="Z62" i="107"/>
  <c r="R14" i="101"/>
  <c r="R16" i="101"/>
  <c r="R18" i="101"/>
  <c r="R33" i="101"/>
  <c r="R34" i="101"/>
  <c r="J19" i="102"/>
  <c r="V21" i="102"/>
  <c r="V25" i="102"/>
  <c r="R30" i="102"/>
  <c r="J33" i="102"/>
  <c r="R34" i="102"/>
  <c r="J37" i="102"/>
  <c r="R38" i="102"/>
  <c r="V45" i="102"/>
  <c r="F49" i="102"/>
  <c r="F50" i="102"/>
  <c r="J51" i="102"/>
  <c r="J21" i="103"/>
  <c r="J49" i="103"/>
  <c r="J61" i="103"/>
  <c r="V86" i="105"/>
  <c r="V82" i="105"/>
  <c r="V78" i="105"/>
  <c r="V70" i="105"/>
  <c r="V66" i="105"/>
  <c r="V54" i="105"/>
  <c r="V18" i="105"/>
  <c r="V65" i="105"/>
  <c r="V53" i="105"/>
  <c r="V45" i="105"/>
  <c r="V41" i="105"/>
  <c r="V37" i="105"/>
  <c r="V88" i="105"/>
  <c r="V72" i="105"/>
  <c r="V56" i="105"/>
  <c r="V36" i="105"/>
  <c r="V32" i="105"/>
  <c r="V28" i="105"/>
  <c r="V83" i="105"/>
  <c r="V79" i="105"/>
  <c r="V67" i="105"/>
  <c r="V55" i="105"/>
  <c r="V19" i="105"/>
  <c r="V90" i="105"/>
  <c r="V58" i="105"/>
  <c r="V46" i="105"/>
  <c r="V42" i="105"/>
  <c r="V38" i="105"/>
  <c r="V89" i="105"/>
  <c r="V73" i="105"/>
  <c r="V57" i="105"/>
  <c r="V33" i="105"/>
  <c r="V29" i="105"/>
  <c r="V84" i="105"/>
  <c r="V80" i="105"/>
  <c r="V68" i="105"/>
  <c r="V60" i="105"/>
  <c r="V48" i="105"/>
  <c r="V20" i="105"/>
  <c r="V93" i="105"/>
  <c r="V91" i="105"/>
  <c r="V75" i="105"/>
  <c r="V59" i="105"/>
  <c r="V47" i="105"/>
  <c r="V43" i="105"/>
  <c r="V39" i="105"/>
  <c r="V74" i="105"/>
  <c r="V62" i="105"/>
  <c r="V50" i="105"/>
  <c r="V34" i="105"/>
  <c r="V30" i="105"/>
  <c r="V26" i="105"/>
  <c r="V97" i="105"/>
  <c r="V87" i="105"/>
  <c r="V71" i="105"/>
  <c r="V63" i="105"/>
  <c r="V51" i="105"/>
  <c r="V35" i="105"/>
  <c r="V31" i="105"/>
  <c r="V27" i="105"/>
  <c r="V49" i="105"/>
  <c r="T86" i="107"/>
  <c r="X54" i="107"/>
  <c r="Z54" i="107" s="1"/>
  <c r="R19" i="101"/>
  <c r="V30" i="102"/>
  <c r="V34" i="102"/>
  <c r="V38" i="102"/>
  <c r="F42" i="102"/>
  <c r="F43" i="102"/>
  <c r="V46" i="102"/>
  <c r="J50" i="102"/>
  <c r="R54" i="102"/>
  <c r="R56" i="102"/>
  <c r="P23" i="103"/>
  <c r="R27" i="103"/>
  <c r="J30" i="103"/>
  <c r="R31" i="103"/>
  <c r="J34" i="103"/>
  <c r="R35" i="103"/>
  <c r="J48" i="103"/>
  <c r="R51" i="103"/>
  <c r="R52" i="103"/>
  <c r="J60" i="103"/>
  <c r="R63" i="103"/>
  <c r="R64" i="103"/>
  <c r="J70" i="103"/>
  <c r="R71" i="103"/>
  <c r="J86" i="103"/>
  <c r="X26" i="105"/>
  <c r="V31" i="108"/>
  <c r="Z12" i="108"/>
  <c r="V21" i="108"/>
  <c r="T16" i="108"/>
  <c r="V22" i="108"/>
  <c r="V28" i="108"/>
  <c r="V26" i="108"/>
  <c r="V14" i="108"/>
  <c r="V20" i="108"/>
  <c r="V24" i="108"/>
  <c r="V16" i="108"/>
  <c r="V18" i="108"/>
  <c r="P16" i="102"/>
  <c r="R20" i="102"/>
  <c r="J23" i="102"/>
  <c r="R24" i="102"/>
  <c r="J27" i="102"/>
  <c r="R28" i="102"/>
  <c r="R29" i="102"/>
  <c r="F32" i="102"/>
  <c r="F36" i="102"/>
  <c r="J43" i="102"/>
  <c r="R44" i="102"/>
  <c r="F48" i="102"/>
  <c r="J49" i="102"/>
  <c r="R52" i="102"/>
  <c r="L13" i="103"/>
  <c r="R23" i="103"/>
  <c r="R25" i="103"/>
  <c r="J39" i="103"/>
  <c r="R40" i="103"/>
  <c r="J43" i="103"/>
  <c r="R44" i="103"/>
  <c r="J47" i="103"/>
  <c r="J59" i="103"/>
  <c r="J69" i="103"/>
  <c r="J75" i="103"/>
  <c r="R76" i="103"/>
  <c r="J79" i="103"/>
  <c r="R80" i="103"/>
  <c r="J90" i="103"/>
  <c r="H95" i="105"/>
  <c r="J95" i="105" s="1"/>
  <c r="N77" i="105"/>
  <c r="V77" i="107"/>
  <c r="V73" i="107"/>
  <c r="V57" i="107"/>
  <c r="V45" i="107"/>
  <c r="V21" i="107"/>
  <c r="V19" i="107"/>
  <c r="V17" i="107"/>
  <c r="V79" i="107"/>
  <c r="V59" i="107"/>
  <c r="V47" i="107"/>
  <c r="V31" i="107"/>
  <c r="V27" i="107"/>
  <c r="V23" i="107"/>
  <c r="V74" i="107"/>
  <c r="V70" i="107"/>
  <c r="V62" i="107"/>
  <c r="V50" i="107"/>
  <c r="V80" i="107"/>
  <c r="V64" i="107"/>
  <c r="V52" i="107"/>
  <c r="V32" i="107"/>
  <c r="V28" i="107"/>
  <c r="V24" i="107"/>
  <c r="V86" i="107"/>
  <c r="V84" i="107"/>
  <c r="V82" i="107"/>
  <c r="V66" i="107"/>
  <c r="V54" i="107"/>
  <c r="V42" i="107"/>
  <c r="V38" i="107"/>
  <c r="V34" i="107"/>
  <c r="V67" i="107"/>
  <c r="V55" i="107"/>
  <c r="V43" i="107"/>
  <c r="V39" i="107"/>
  <c r="V48" i="107"/>
  <c r="V40" i="107"/>
  <c r="V16" i="107"/>
  <c r="V60" i="107"/>
  <c r="V51" i="107"/>
  <c r="V26" i="107"/>
  <c r="V68" i="107"/>
  <c r="V36" i="107"/>
  <c r="V75" i="107"/>
  <c r="V71" i="107"/>
  <c r="V63" i="107"/>
  <c r="V46" i="107"/>
  <c r="V22" i="107"/>
  <c r="V58" i="107"/>
  <c r="V41" i="107"/>
  <c r="V29" i="107"/>
  <c r="V78" i="107"/>
  <c r="V49" i="107"/>
  <c r="V88" i="107"/>
  <c r="V81" i="107"/>
  <c r="V69" i="107"/>
  <c r="V61" i="107"/>
  <c r="V44" i="107"/>
  <c r="V37" i="107"/>
  <c r="V76" i="107"/>
  <c r="V72" i="107"/>
  <c r="V56" i="107"/>
  <c r="V53" i="107"/>
  <c r="V33" i="107"/>
  <c r="V25" i="107"/>
  <c r="V35" i="107"/>
  <c r="N46" i="109"/>
  <c r="R26" i="103"/>
  <c r="R49" i="103"/>
  <c r="R50" i="103"/>
  <c r="J58" i="103"/>
  <c r="R61" i="103"/>
  <c r="R62" i="103"/>
  <c r="J68" i="103"/>
  <c r="J74" i="103"/>
  <c r="J84" i="103"/>
  <c r="T95" i="105"/>
  <c r="V95" i="105" s="1"/>
  <c r="Z26" i="105"/>
  <c r="Z90" i="105"/>
  <c r="V65" i="107"/>
  <c r="T16" i="102"/>
  <c r="R19" i="102"/>
  <c r="F22" i="102"/>
  <c r="F26" i="102"/>
  <c r="V29" i="102"/>
  <c r="V33" i="102"/>
  <c r="V37" i="102"/>
  <c r="J41" i="102"/>
  <c r="R50" i="102"/>
  <c r="R51" i="102"/>
  <c r="J29" i="103"/>
  <c r="R30" i="103"/>
  <c r="J33" i="103"/>
  <c r="R34" i="103"/>
  <c r="J57" i="103"/>
  <c r="R70" i="103"/>
  <c r="J73" i="103"/>
  <c r="R86" i="103"/>
  <c r="P12" i="105"/>
  <c r="X13" i="105"/>
  <c r="V23" i="105"/>
  <c r="N52" i="105"/>
  <c r="N58" i="105"/>
  <c r="X62" i="105"/>
  <c r="V64" i="105"/>
  <c r="V69" i="105"/>
  <c r="Z77" i="105"/>
  <c r="L78" i="107"/>
  <c r="N78" i="107" s="1"/>
  <c r="R22" i="101"/>
  <c r="R30" i="101"/>
  <c r="R31" i="101"/>
  <c r="R43" i="101"/>
  <c r="R46" i="101"/>
  <c r="V14" i="102"/>
  <c r="V16" i="102"/>
  <c r="V18" i="102"/>
  <c r="J22" i="102"/>
  <c r="R23" i="102"/>
  <c r="J26" i="102"/>
  <c r="R27" i="102"/>
  <c r="F31" i="102"/>
  <c r="F35" i="102"/>
  <c r="F39" i="102"/>
  <c r="J40" i="102"/>
  <c r="R43" i="102"/>
  <c r="F46" i="102"/>
  <c r="F47" i="102"/>
  <c r="V50" i="102"/>
  <c r="J60" i="102"/>
  <c r="J63" i="102"/>
  <c r="J38" i="103"/>
  <c r="R39" i="103"/>
  <c r="J42" i="103"/>
  <c r="R43" i="103"/>
  <c r="J46" i="103"/>
  <c r="R47" i="103"/>
  <c r="R48" i="103"/>
  <c r="J56" i="103"/>
  <c r="R59" i="103"/>
  <c r="R60" i="103"/>
  <c r="R75" i="103"/>
  <c r="J78" i="103"/>
  <c r="R79" i="103"/>
  <c r="J82" i="103"/>
  <c r="X18" i="104"/>
  <c r="N56" i="105"/>
  <c r="V77" i="105"/>
  <c r="F82" i="107"/>
  <c r="F81" i="107"/>
  <c r="F42" i="107"/>
  <c r="F38" i="107"/>
  <c r="F34" i="107"/>
  <c r="F33" i="107"/>
  <c r="F76" i="107"/>
  <c r="F72" i="107"/>
  <c r="L12" i="107"/>
  <c r="N12" i="107" s="1"/>
  <c r="F86" i="107"/>
  <c r="F84" i="107"/>
  <c r="F67" i="107"/>
  <c r="F66" i="107"/>
  <c r="F55" i="107"/>
  <c r="F54" i="107"/>
  <c r="F43" i="107"/>
  <c r="F39" i="107"/>
  <c r="F35" i="107"/>
  <c r="F77" i="107"/>
  <c r="F73" i="107"/>
  <c r="F57" i="107"/>
  <c r="F56" i="107"/>
  <c r="F45" i="107"/>
  <c r="F44" i="107"/>
  <c r="F17" i="107"/>
  <c r="F16" i="107"/>
  <c r="F93" i="107"/>
  <c r="F90" i="107"/>
  <c r="F79" i="107"/>
  <c r="F78" i="107"/>
  <c r="F59" i="107"/>
  <c r="F58" i="107"/>
  <c r="F47" i="107"/>
  <c r="F46" i="107"/>
  <c r="F31" i="107"/>
  <c r="F27" i="107"/>
  <c r="F23" i="107"/>
  <c r="F22" i="107"/>
  <c r="F80" i="107"/>
  <c r="F74" i="107"/>
  <c r="F50" i="107"/>
  <c r="F32" i="107"/>
  <c r="F30" i="107"/>
  <c r="F25" i="107"/>
  <c r="F65" i="107"/>
  <c r="F70" i="107"/>
  <c r="F62" i="107"/>
  <c r="F19" i="107"/>
  <c r="F40" i="107"/>
  <c r="D19" i="107"/>
  <c r="F68" i="107"/>
  <c r="F51" i="107"/>
  <c r="F28" i="107"/>
  <c r="F26" i="107"/>
  <c r="F48" i="107"/>
  <c r="F36" i="107"/>
  <c r="F75" i="107"/>
  <c r="F71" i="107"/>
  <c r="F63" i="107"/>
  <c r="F60" i="107"/>
  <c r="F24" i="107"/>
  <c r="F21" i="107"/>
  <c r="F52" i="107"/>
  <c r="F41" i="107"/>
  <c r="F29" i="107"/>
  <c r="F53" i="107"/>
  <c r="X70" i="107"/>
  <c r="Z70" i="107" s="1"/>
  <c r="R41" i="101"/>
  <c r="X12" i="102"/>
  <c r="V19" i="102"/>
  <c r="V23" i="102"/>
  <c r="V27" i="102"/>
  <c r="J31" i="102"/>
  <c r="R32" i="102"/>
  <c r="J35" i="102"/>
  <c r="R36" i="102"/>
  <c r="J39" i="102"/>
  <c r="V43" i="102"/>
  <c r="J47" i="102"/>
  <c r="R48" i="102"/>
  <c r="R49" i="102"/>
  <c r="V51" i="102"/>
  <c r="F58" i="102"/>
  <c r="J19" i="103"/>
  <c r="R20" i="103"/>
  <c r="J37" i="103"/>
  <c r="J55" i="103"/>
  <c r="J67" i="103"/>
  <c r="R68" i="103"/>
  <c r="R69" i="103"/>
  <c r="R84" i="103"/>
  <c r="X50" i="105"/>
  <c r="Z50" i="105" s="1"/>
  <c r="Z62" i="105"/>
  <c r="V85" i="105"/>
  <c r="R28" i="101"/>
  <c r="F21" i="102"/>
  <c r="F25" i="102"/>
  <c r="V32" i="102"/>
  <c r="V36" i="102"/>
  <c r="R41" i="102"/>
  <c r="F45" i="102"/>
  <c r="J46" i="102"/>
  <c r="F54" i="102"/>
  <c r="J28" i="103"/>
  <c r="R29" i="103"/>
  <c r="J32" i="103"/>
  <c r="R33" i="103"/>
  <c r="J36" i="103"/>
  <c r="J54" i="103"/>
  <c r="R57" i="103"/>
  <c r="R58" i="103"/>
  <c r="J66" i="103"/>
  <c r="J72" i="103"/>
  <c r="R73" i="103"/>
  <c r="R74" i="103"/>
  <c r="X25" i="105"/>
  <c r="Z25" i="105" s="1"/>
  <c r="Z52" i="105"/>
  <c r="L58" i="107"/>
  <c r="N58" i="107" s="1"/>
  <c r="F64" i="107"/>
  <c r="F54" i="109"/>
  <c r="F53" i="109"/>
  <c r="F38" i="109"/>
  <c r="F34" i="109"/>
  <c r="F73" i="109"/>
  <c r="F61" i="109"/>
  <c r="F63" i="109"/>
  <c r="F62" i="109"/>
  <c r="F58" i="109"/>
  <c r="F57" i="109"/>
  <c r="F49" i="109"/>
  <c r="F48" i="109"/>
  <c r="F64" i="109"/>
  <c r="F59" i="109"/>
  <c r="F66" i="109"/>
  <c r="F65" i="109"/>
  <c r="F55" i="109"/>
  <c r="F45" i="109"/>
  <c r="F41" i="109"/>
  <c r="F33" i="109"/>
  <c r="F29" i="109"/>
  <c r="F60" i="109"/>
  <c r="F52" i="109"/>
  <c r="F36" i="109"/>
  <c r="F26" i="109"/>
  <c r="F69" i="109"/>
  <c r="F23" i="109"/>
  <c r="F56" i="109"/>
  <c r="F46" i="109"/>
  <c r="F42" i="109"/>
  <c r="F39" i="109"/>
  <c r="F30" i="109"/>
  <c r="F15" i="109"/>
  <c r="F50" i="109"/>
  <c r="F37" i="109"/>
  <c r="F27" i="109"/>
  <c r="F47" i="109"/>
  <c r="F43" i="109"/>
  <c r="F24" i="109"/>
  <c r="F21" i="109"/>
  <c r="F20" i="109"/>
  <c r="F19" i="109"/>
  <c r="D17" i="109"/>
  <c r="F31" i="109"/>
  <c r="F40" i="109"/>
  <c r="F32" i="109"/>
  <c r="F28" i="109"/>
  <c r="F25" i="109"/>
  <c r="F17" i="109"/>
  <c r="F22" i="109"/>
  <c r="L12" i="109"/>
  <c r="N12" i="109" s="1"/>
  <c r="F68" i="109"/>
  <c r="F35" i="109"/>
  <c r="L12" i="104"/>
  <c r="J39" i="105"/>
  <c r="J43" i="105"/>
  <c r="J47" i="105"/>
  <c r="J59" i="105"/>
  <c r="J91" i="105"/>
  <c r="J23" i="107"/>
  <c r="J32" i="107"/>
  <c r="J47" i="107"/>
  <c r="N50" i="107"/>
  <c r="J72" i="107"/>
  <c r="J76" i="107"/>
  <c r="N16" i="108"/>
  <c r="H24" i="108"/>
  <c r="V14" i="104"/>
  <c r="V16" i="104"/>
  <c r="V18" i="104"/>
  <c r="J28" i="104"/>
  <c r="J31" i="104"/>
  <c r="J38" i="105"/>
  <c r="J42" i="105"/>
  <c r="J46" i="105"/>
  <c r="J56" i="105"/>
  <c r="J17" i="107"/>
  <c r="N22" i="107"/>
  <c r="N46" i="107"/>
  <c r="J49" i="107"/>
  <c r="J64" i="107"/>
  <c r="J80" i="107"/>
  <c r="X16" i="108"/>
  <c r="P24" i="108"/>
  <c r="V19" i="104"/>
  <c r="F26" i="104"/>
  <c r="J19" i="105"/>
  <c r="J37" i="105"/>
  <c r="J55" i="105"/>
  <c r="J67" i="105"/>
  <c r="J79" i="105"/>
  <c r="J83" i="105"/>
  <c r="L16" i="107"/>
  <c r="N16" i="107" s="1"/>
  <c r="J41" i="107"/>
  <c r="Z44" i="107"/>
  <c r="Z81" i="107"/>
  <c r="R29" i="109"/>
  <c r="R46" i="109"/>
  <c r="J26" i="104"/>
  <c r="J28" i="105"/>
  <c r="J32" i="105"/>
  <c r="J36" i="105"/>
  <c r="J54" i="105"/>
  <c r="J66" i="105"/>
  <c r="J72" i="105"/>
  <c r="J88" i="105"/>
  <c r="J34" i="107"/>
  <c r="J52" i="107"/>
  <c r="L20" i="108"/>
  <c r="V65" i="109"/>
  <c r="V49" i="109"/>
  <c r="V64" i="109"/>
  <c r="V68" i="109"/>
  <c r="V66" i="109"/>
  <c r="V69" i="109"/>
  <c r="V53" i="109"/>
  <c r="V41" i="109"/>
  <c r="V37" i="109"/>
  <c r="V60" i="109"/>
  <c r="V52" i="109"/>
  <c r="V44" i="109"/>
  <c r="V28" i="109"/>
  <c r="V62" i="109"/>
  <c r="V54" i="109"/>
  <c r="V46" i="109"/>
  <c r="V38" i="109"/>
  <c r="V34" i="109"/>
  <c r="V73" i="109"/>
  <c r="V61" i="109"/>
  <c r="V39" i="109"/>
  <c r="V31" i="109"/>
  <c r="V30" i="109"/>
  <c r="V27" i="109"/>
  <c r="V24" i="109"/>
  <c r="Z12" i="109"/>
  <c r="V57" i="109"/>
  <c r="V48" i="109"/>
  <c r="V47" i="109"/>
  <c r="V43" i="109"/>
  <c r="V21" i="109"/>
  <c r="V63" i="109"/>
  <c r="V50" i="109"/>
  <c r="V59" i="109"/>
  <c r="V51" i="109"/>
  <c r="V40" i="109"/>
  <c r="V32" i="109"/>
  <c r="V55" i="109"/>
  <c r="V35" i="109"/>
  <c r="V25" i="109"/>
  <c r="V22" i="109"/>
  <c r="V45" i="109"/>
  <c r="V33" i="109"/>
  <c r="V29" i="109"/>
  <c r="V56" i="109"/>
  <c r="V19" i="109"/>
  <c r="T17" i="109"/>
  <c r="V15" i="109"/>
  <c r="V42" i="109"/>
  <c r="X46" i="109"/>
  <c r="Z46" i="109" s="1"/>
  <c r="D16" i="104"/>
  <c r="J41" i="105"/>
  <c r="J45" i="105"/>
  <c r="J53" i="105"/>
  <c r="J65" i="105"/>
  <c r="J71" i="105"/>
  <c r="J87" i="105"/>
  <c r="L13" i="107"/>
  <c r="N13" i="107" s="1"/>
  <c r="J16" i="107"/>
  <c r="J24" i="107"/>
  <c r="J31" i="107"/>
  <c r="J57" i="107"/>
  <c r="N60" i="107"/>
  <c r="J73" i="107"/>
  <c r="J77" i="107"/>
  <c r="R49" i="109"/>
  <c r="J64" i="105"/>
  <c r="J70" i="105"/>
  <c r="J78" i="105"/>
  <c r="J82" i="105"/>
  <c r="J86" i="105"/>
  <c r="P12" i="107"/>
  <c r="N48" i="107"/>
  <c r="Z64" i="107"/>
  <c r="J66" i="107"/>
  <c r="J82" i="107"/>
  <c r="V36" i="109"/>
  <c r="V58" i="109"/>
  <c r="H16" i="104"/>
  <c r="F19" i="104"/>
  <c r="J23" i="105"/>
  <c r="J25" i="105"/>
  <c r="J27" i="105"/>
  <c r="J31" i="105"/>
  <c r="J35" i="105"/>
  <c r="J51" i="105"/>
  <c r="X58" i="105"/>
  <c r="Z58" i="105" s="1"/>
  <c r="J63" i="105"/>
  <c r="J77" i="105"/>
  <c r="J97" i="105"/>
  <c r="X13" i="107"/>
  <c r="Z13" i="107" s="1"/>
  <c r="J28" i="107"/>
  <c r="J38" i="107"/>
  <c r="J45" i="107"/>
  <c r="L48" i="107"/>
  <c r="F26" i="108"/>
  <c r="R52" i="109"/>
  <c r="J14" i="104"/>
  <c r="J16" i="104"/>
  <c r="J18" i="104"/>
  <c r="J20" i="104"/>
  <c r="V26" i="104"/>
  <c r="V28" i="104"/>
  <c r="J26" i="105"/>
  <c r="J40" i="105"/>
  <c r="J44" i="105"/>
  <c r="J50" i="105"/>
  <c r="J62" i="105"/>
  <c r="J76" i="105"/>
  <c r="J33" i="107"/>
  <c r="J54" i="107"/>
  <c r="F24" i="108"/>
  <c r="F28" i="108"/>
  <c r="D16" i="108"/>
  <c r="L18" i="108"/>
  <c r="F22" i="108"/>
  <c r="V17" i="109"/>
  <c r="J21" i="105"/>
  <c r="J49" i="105"/>
  <c r="J61" i="105"/>
  <c r="J69" i="105"/>
  <c r="J75" i="105"/>
  <c r="J81" i="105"/>
  <c r="J85" i="105"/>
  <c r="J93" i="105"/>
  <c r="H19" i="107"/>
  <c r="J42" i="107"/>
  <c r="X52" i="107"/>
  <c r="Z52" i="107" s="1"/>
  <c r="N62" i="107"/>
  <c r="N70" i="107"/>
  <c r="R58" i="109"/>
  <c r="R31" i="109"/>
  <c r="R30" i="109"/>
  <c r="R26" i="109"/>
  <c r="R22" i="109"/>
  <c r="X12" i="109"/>
  <c r="R65" i="109"/>
  <c r="R64" i="109"/>
  <c r="R59" i="109"/>
  <c r="R66" i="109"/>
  <c r="R51" i="109"/>
  <c r="R50" i="109"/>
  <c r="R69" i="109"/>
  <c r="R68" i="109"/>
  <c r="R42" i="109"/>
  <c r="R41" i="109"/>
  <c r="R37" i="109"/>
  <c r="R33" i="109"/>
  <c r="R60" i="109"/>
  <c r="R44" i="109"/>
  <c r="R43" i="109"/>
  <c r="R56" i="109"/>
  <c r="R53" i="109"/>
  <c r="R20" i="109"/>
  <c r="R39" i="109"/>
  <c r="R34" i="109"/>
  <c r="R27" i="109"/>
  <c r="R19" i="109"/>
  <c r="P17" i="109"/>
  <c r="R17" i="109" s="1"/>
  <c r="R24" i="109"/>
  <c r="R47" i="109"/>
  <c r="R21" i="109"/>
  <c r="R63" i="109"/>
  <c r="R61" i="109"/>
  <c r="R57" i="109"/>
  <c r="R54" i="109"/>
  <c r="R48" i="109"/>
  <c r="R28" i="109"/>
  <c r="R40" i="109"/>
  <c r="R32" i="109"/>
  <c r="R73" i="109"/>
  <c r="R35" i="109"/>
  <c r="R25" i="109"/>
  <c r="R55" i="109"/>
  <c r="R38" i="109"/>
  <c r="R62" i="109"/>
  <c r="R15" i="109"/>
  <c r="V20" i="109"/>
  <c r="J30" i="105"/>
  <c r="J34" i="105"/>
  <c r="J48" i="105"/>
  <c r="J60" i="105"/>
  <c r="J65" i="107"/>
  <c r="J53" i="107"/>
  <c r="J29" i="107"/>
  <c r="J25" i="107"/>
  <c r="J67" i="107"/>
  <c r="J55" i="107"/>
  <c r="J43" i="107"/>
  <c r="J39" i="107"/>
  <c r="J35" i="107"/>
  <c r="J88" i="107"/>
  <c r="J56" i="107"/>
  <c r="J44" i="107"/>
  <c r="J30" i="107"/>
  <c r="J26" i="107"/>
  <c r="J78" i="107"/>
  <c r="J68" i="107"/>
  <c r="J58" i="107"/>
  <c r="J46" i="107"/>
  <c r="J40" i="107"/>
  <c r="J36" i="107"/>
  <c r="J22" i="107"/>
  <c r="J74" i="107"/>
  <c r="J60" i="107"/>
  <c r="J48" i="107"/>
  <c r="J81" i="107"/>
  <c r="J75" i="107"/>
  <c r="J71" i="107"/>
  <c r="J63" i="107"/>
  <c r="J51" i="107"/>
  <c r="J19" i="107"/>
  <c r="J59" i="107"/>
  <c r="J62" i="107"/>
  <c r="Z66" i="107"/>
  <c r="J70" i="107"/>
  <c r="L12" i="108"/>
  <c r="F16" i="108"/>
  <c r="R23" i="109"/>
  <c r="L51" i="109"/>
  <c r="N51" i="109" s="1"/>
  <c r="J35" i="109"/>
  <c r="J48" i="109"/>
  <c r="J51" i="109"/>
  <c r="J28" i="109"/>
  <c r="J44" i="109"/>
  <c r="J54" i="109"/>
  <c r="Z62" i="109"/>
  <c r="J73" i="109"/>
  <c r="J61" i="109"/>
  <c r="J55" i="109"/>
  <c r="J45" i="109"/>
  <c r="J29" i="109"/>
  <c r="J25" i="109"/>
  <c r="J21" i="109"/>
  <c r="J19" i="109"/>
  <c r="J15" i="109"/>
  <c r="J62" i="109"/>
  <c r="J56" i="109"/>
  <c r="J63" i="109"/>
  <c r="J58" i="109"/>
  <c r="J49" i="109"/>
  <c r="J64" i="109"/>
  <c r="J40" i="109"/>
  <c r="J36" i="109"/>
  <c r="J32" i="109"/>
  <c r="J65" i="109"/>
  <c r="J59" i="109"/>
  <c r="J66" i="109"/>
  <c r="J50" i="109"/>
  <c r="Z55" i="109"/>
  <c r="J57" i="109"/>
  <c r="N65" i="109"/>
  <c r="J24" i="109"/>
  <c r="J31" i="109"/>
  <c r="J43" i="109"/>
  <c r="J47" i="109"/>
  <c r="Z68" i="109"/>
  <c r="N12" i="108"/>
  <c r="R14" i="108"/>
  <c r="R16" i="108"/>
  <c r="R18" i="108"/>
  <c r="R20" i="108"/>
  <c r="R21" i="108"/>
  <c r="J28" i="108"/>
  <c r="H17" i="109"/>
  <c r="J17" i="109" s="1"/>
  <c r="J20" i="109"/>
  <c r="J27" i="109"/>
  <c r="J34" i="109"/>
  <c r="J37" i="109"/>
  <c r="L46" i="109"/>
  <c r="J53" i="109"/>
  <c r="J30" i="109"/>
  <c r="J39" i="109"/>
  <c r="N42" i="109"/>
  <c r="Z48" i="109"/>
  <c r="X51" i="109"/>
  <c r="Z51" i="109" s="1"/>
  <c r="Z57" i="109"/>
  <c r="D68" i="109"/>
  <c r="L68" i="109" s="1"/>
  <c r="N68" i="109" s="1"/>
  <c r="L69" i="109"/>
  <c r="N69" i="109" s="1"/>
  <c r="J42" i="109"/>
  <c r="X12" i="108"/>
  <c r="R31" i="108"/>
  <c r="J23" i="109"/>
  <c r="J46" i="109"/>
  <c r="J69" i="109"/>
  <c r="J26" i="109"/>
  <c r="J52" i="109"/>
  <c r="J60" i="109"/>
  <c r="L57" i="109"/>
  <c r="N57" i="109" s="1"/>
  <c r="F80" i="92" l="1"/>
  <c r="F58" i="92"/>
  <c r="F57" i="92"/>
  <c r="F66" i="92"/>
  <c r="F72" i="92"/>
  <c r="F68" i="92"/>
  <c r="F78" i="92"/>
  <c r="F44" i="92"/>
  <c r="F43" i="92"/>
  <c r="F28" i="92"/>
  <c r="F24" i="92"/>
  <c r="F73" i="92"/>
  <c r="F69" i="92"/>
  <c r="F59" i="92"/>
  <c r="F53" i="92"/>
  <c r="F52" i="92"/>
  <c r="F46" i="92"/>
  <c r="F45" i="92"/>
  <c r="F38" i="92"/>
  <c r="F34" i="92"/>
  <c r="F63" i="92"/>
  <c r="F60" i="92"/>
  <c r="F29" i="92"/>
  <c r="F25" i="92"/>
  <c r="F70" i="92"/>
  <c r="F55" i="92"/>
  <c r="F54" i="92"/>
  <c r="F16" i="92"/>
  <c r="F15" i="92"/>
  <c r="F74" i="92"/>
  <c r="F67" i="92"/>
  <c r="F47" i="92"/>
  <c r="F39" i="92"/>
  <c r="F35" i="92"/>
  <c r="F31" i="92"/>
  <c r="F30" i="92"/>
  <c r="F71" i="92"/>
  <c r="F64" i="92"/>
  <c r="F61" i="92"/>
  <c r="F26" i="92"/>
  <c r="F22" i="92"/>
  <c r="F21" i="92"/>
  <c r="L12" i="92"/>
  <c r="F76" i="92"/>
  <c r="F27" i="92"/>
  <c r="F23" i="92"/>
  <c r="F56" i="92"/>
  <c r="F50" i="92"/>
  <c r="D18" i="92"/>
  <c r="F33" i="92"/>
  <c r="F40" i="92"/>
  <c r="F51" i="92"/>
  <c r="F48" i="92"/>
  <c r="F36" i="92"/>
  <c r="F41" i="92"/>
  <c r="F85" i="92"/>
  <c r="F62" i="92"/>
  <c r="F49" i="92"/>
  <c r="F20" i="92"/>
  <c r="F65" i="92"/>
  <c r="F42" i="92"/>
  <c r="F37" i="92"/>
  <c r="F18" i="92"/>
  <c r="F82" i="92"/>
  <c r="F32" i="92"/>
  <c r="F70" i="79"/>
  <c r="F46" i="79"/>
  <c r="F45" i="79"/>
  <c r="F65" i="79"/>
  <c r="F64" i="79"/>
  <c r="F57" i="79"/>
  <c r="F72" i="79"/>
  <c r="F71" i="79"/>
  <c r="F74" i="79"/>
  <c r="F73" i="79"/>
  <c r="F66" i="79"/>
  <c r="F50" i="79"/>
  <c r="F49" i="79"/>
  <c r="F60" i="79"/>
  <c r="F52" i="79"/>
  <c r="F51" i="79"/>
  <c r="F78" i="79"/>
  <c r="F76" i="79"/>
  <c r="F67" i="79"/>
  <c r="F80" i="79"/>
  <c r="F62" i="79"/>
  <c r="F61" i="79"/>
  <c r="F54" i="79"/>
  <c r="F53" i="79"/>
  <c r="F85" i="79"/>
  <c r="F82" i="79"/>
  <c r="F63" i="79"/>
  <c r="F69" i="79"/>
  <c r="F42" i="79"/>
  <c r="F33" i="79"/>
  <c r="F29" i="79"/>
  <c r="F25" i="79"/>
  <c r="F24" i="79"/>
  <c r="F47" i="79"/>
  <c r="F23" i="79"/>
  <c r="F21" i="79"/>
  <c r="F39" i="79"/>
  <c r="F35" i="79"/>
  <c r="F34" i="79"/>
  <c r="D21" i="79"/>
  <c r="F30" i="79"/>
  <c r="F26" i="79"/>
  <c r="F58" i="79"/>
  <c r="F48" i="79"/>
  <c r="F43" i="79"/>
  <c r="F68" i="79"/>
  <c r="F40" i="79"/>
  <c r="F36" i="79"/>
  <c r="F56" i="79"/>
  <c r="F31" i="79"/>
  <c r="F27" i="79"/>
  <c r="F44" i="79"/>
  <c r="F18" i="79"/>
  <c r="F17" i="79"/>
  <c r="F41" i="79"/>
  <c r="F37" i="79"/>
  <c r="F55" i="79"/>
  <c r="F38" i="79"/>
  <c r="L12" i="79"/>
  <c r="N12" i="79" s="1"/>
  <c r="F19" i="79"/>
  <c r="F59" i="79"/>
  <c r="F28" i="79"/>
  <c r="F32" i="79"/>
  <c r="F139" i="74"/>
  <c r="F138" i="74"/>
  <c r="F127" i="74"/>
  <c r="F111" i="74"/>
  <c r="F110" i="74"/>
  <c r="F99" i="74"/>
  <c r="F95" i="74"/>
  <c r="F91" i="74"/>
  <c r="F143" i="74"/>
  <c r="F134" i="74"/>
  <c r="F130" i="74"/>
  <c r="F114" i="74"/>
  <c r="F113" i="74"/>
  <c r="F74" i="74"/>
  <c r="F70" i="74"/>
  <c r="F66" i="74"/>
  <c r="F62" i="74"/>
  <c r="F58" i="74"/>
  <c r="F54" i="74"/>
  <c r="F123" i="74"/>
  <c r="F71" i="74"/>
  <c r="F61" i="74"/>
  <c r="F118" i="74"/>
  <c r="F102" i="74"/>
  <c r="F68" i="74"/>
  <c r="F142" i="74"/>
  <c r="F108" i="74"/>
  <c r="F103" i="74"/>
  <c r="F98" i="74"/>
  <c r="F88" i="74"/>
  <c r="F85" i="74"/>
  <c r="F82" i="74"/>
  <c r="F65" i="74"/>
  <c r="F131" i="74"/>
  <c r="F109" i="74"/>
  <c r="D76" i="74"/>
  <c r="F72" i="74"/>
  <c r="F128" i="74"/>
  <c r="F124" i="74"/>
  <c r="F119" i="74"/>
  <c r="F92" i="74"/>
  <c r="F78" i="74"/>
  <c r="F69" i="74"/>
  <c r="F55" i="74"/>
  <c r="F120" i="74"/>
  <c r="F104" i="74"/>
  <c r="F89" i="74"/>
  <c r="F79" i="74"/>
  <c r="F129" i="74"/>
  <c r="F105" i="74"/>
  <c r="F86" i="74"/>
  <c r="F83" i="74"/>
  <c r="F80" i="74"/>
  <c r="F73" i="74"/>
  <c r="F59" i="74"/>
  <c r="F52" i="74"/>
  <c r="F149" i="74"/>
  <c r="F144" i="74"/>
  <c r="F135" i="74"/>
  <c r="F132" i="74"/>
  <c r="F125" i="74"/>
  <c r="F121" i="74"/>
  <c r="F115" i="74"/>
  <c r="F96" i="74"/>
  <c r="F93" i="74"/>
  <c r="F90" i="74"/>
  <c r="F56" i="74"/>
  <c r="F122" i="74"/>
  <c r="F116" i="74"/>
  <c r="F63" i="74"/>
  <c r="F53" i="74"/>
  <c r="F140" i="74"/>
  <c r="F137" i="74"/>
  <c r="F117" i="74"/>
  <c r="F112" i="74"/>
  <c r="F107" i="74"/>
  <c r="F101" i="74"/>
  <c r="F94" i="74"/>
  <c r="F64" i="74"/>
  <c r="F60" i="74"/>
  <c r="F133" i="74"/>
  <c r="F97" i="74"/>
  <c r="F84" i="74"/>
  <c r="F145" i="74"/>
  <c r="F126" i="74"/>
  <c r="F106" i="74"/>
  <c r="F81" i="74"/>
  <c r="F57" i="74"/>
  <c r="F136" i="74"/>
  <c r="L12" i="74"/>
  <c r="N12" i="74" s="1"/>
  <c r="F87" i="74"/>
  <c r="F100" i="74"/>
  <c r="F67" i="74"/>
  <c r="H77" i="57"/>
  <c r="T27" i="112"/>
  <c r="Z18" i="112"/>
  <c r="H117" i="84"/>
  <c r="L16" i="104"/>
  <c r="D24" i="104"/>
  <c r="D24" i="108"/>
  <c r="L16" i="108"/>
  <c r="P28" i="108"/>
  <c r="H99" i="105"/>
  <c r="D39" i="101"/>
  <c r="L16" i="101"/>
  <c r="H25" i="98"/>
  <c r="N17" i="98"/>
  <c r="P82" i="91"/>
  <c r="X16" i="91"/>
  <c r="F30" i="85"/>
  <c r="L12" i="85"/>
  <c r="N12" i="85" s="1"/>
  <c r="F17" i="85"/>
  <c r="F16" i="85"/>
  <c r="F32" i="85"/>
  <c r="F35" i="85"/>
  <c r="F24" i="85"/>
  <c r="F23" i="85"/>
  <c r="F28" i="85"/>
  <c r="F26" i="85"/>
  <c r="F22" i="85"/>
  <c r="F18" i="85"/>
  <c r="F20" i="85"/>
  <c r="D20" i="85"/>
  <c r="H78" i="92"/>
  <c r="N18" i="92"/>
  <c r="R63" i="87"/>
  <c r="R47" i="87"/>
  <c r="R39" i="87"/>
  <c r="R35" i="87"/>
  <c r="R16" i="87"/>
  <c r="R82" i="87"/>
  <c r="R74" i="87"/>
  <c r="R70" i="87"/>
  <c r="R31" i="87"/>
  <c r="R30" i="87"/>
  <c r="R26" i="87"/>
  <c r="R86" i="87"/>
  <c r="R84" i="87"/>
  <c r="R75" i="87"/>
  <c r="R71" i="87"/>
  <c r="R60" i="87"/>
  <c r="R59" i="87"/>
  <c r="R27" i="87"/>
  <c r="R23" i="87"/>
  <c r="R93" i="87"/>
  <c r="R90" i="87"/>
  <c r="R61" i="87"/>
  <c r="R42" i="87"/>
  <c r="R41" i="87"/>
  <c r="R37" i="87"/>
  <c r="R33" i="87"/>
  <c r="R77" i="87"/>
  <c r="R76" i="87"/>
  <c r="R72" i="87"/>
  <c r="R68" i="87"/>
  <c r="R73" i="87"/>
  <c r="R69" i="87"/>
  <c r="R46" i="87"/>
  <c r="R45" i="87"/>
  <c r="R29" i="87"/>
  <c r="R25" i="87"/>
  <c r="R78" i="87"/>
  <c r="R57" i="87"/>
  <c r="R51" i="87"/>
  <c r="R36" i="87"/>
  <c r="R79" i="87"/>
  <c r="R67" i="87"/>
  <c r="P19" i="87"/>
  <c r="R58" i="87"/>
  <c r="R34" i="87"/>
  <c r="R24" i="87"/>
  <c r="X12" i="87"/>
  <c r="R88" i="87"/>
  <c r="R55" i="87"/>
  <c r="R52" i="87"/>
  <c r="R48" i="87"/>
  <c r="R21" i="87"/>
  <c r="R32" i="87"/>
  <c r="R49" i="87"/>
  <c r="R81" i="87"/>
  <c r="R44" i="87"/>
  <c r="R50" i="87"/>
  <c r="R28" i="87"/>
  <c r="R80" i="87"/>
  <c r="R56" i="87"/>
  <c r="R17" i="87"/>
  <c r="R40" i="87"/>
  <c r="R54" i="87"/>
  <c r="R38" i="87"/>
  <c r="R43" i="87"/>
  <c r="R66" i="87"/>
  <c r="R64" i="87"/>
  <c r="R53" i="87"/>
  <c r="R22" i="87"/>
  <c r="R19" i="87"/>
  <c r="R62" i="87"/>
  <c r="R65" i="87"/>
  <c r="H95" i="83"/>
  <c r="J92" i="83"/>
  <c r="T80" i="75"/>
  <c r="Z16" i="60"/>
  <c r="T58" i="60"/>
  <c r="D64" i="61"/>
  <c r="D73" i="57"/>
  <c r="L17" i="57"/>
  <c r="H82" i="56"/>
  <c r="X17" i="48"/>
  <c r="Z17" i="48" s="1"/>
  <c r="F103" i="45"/>
  <c r="F95" i="45"/>
  <c r="F94" i="45"/>
  <c r="F79" i="45"/>
  <c r="F78" i="45"/>
  <c r="F85" i="45"/>
  <c r="F77" i="45"/>
  <c r="F70" i="45"/>
  <c r="F34" i="45"/>
  <c r="F30" i="45"/>
  <c r="F93" i="45"/>
  <c r="F82" i="45"/>
  <c r="F61" i="45"/>
  <c r="F60" i="45"/>
  <c r="F49" i="45"/>
  <c r="F48" i="45"/>
  <c r="F21" i="45"/>
  <c r="F89" i="45"/>
  <c r="F44" i="45"/>
  <c r="F40" i="45"/>
  <c r="F99" i="45"/>
  <c r="F86" i="45"/>
  <c r="F75" i="45"/>
  <c r="F63" i="45"/>
  <c r="F62" i="45"/>
  <c r="F51" i="45"/>
  <c r="F50" i="45"/>
  <c r="F35" i="45"/>
  <c r="F31" i="45"/>
  <c r="F27" i="45"/>
  <c r="F26" i="45"/>
  <c r="F71" i="45"/>
  <c r="F25" i="45"/>
  <c r="F23" i="45"/>
  <c r="F90" i="45"/>
  <c r="F83" i="45"/>
  <c r="F65" i="45"/>
  <c r="F64" i="45"/>
  <c r="F53" i="45"/>
  <c r="F52" i="45"/>
  <c r="F45" i="45"/>
  <c r="F41" i="45"/>
  <c r="D23" i="45"/>
  <c r="F36" i="45"/>
  <c r="F32" i="45"/>
  <c r="F28" i="45"/>
  <c r="L12" i="45"/>
  <c r="N12" i="45" s="1"/>
  <c r="F87" i="45"/>
  <c r="F76" i="45"/>
  <c r="F72" i="45"/>
  <c r="F67" i="45"/>
  <c r="F66" i="45"/>
  <c r="F55" i="45"/>
  <c r="F54" i="45"/>
  <c r="F19" i="45"/>
  <c r="F18" i="45"/>
  <c r="F92" i="45"/>
  <c r="F91" i="45"/>
  <c r="F84" i="45"/>
  <c r="F80" i="45"/>
  <c r="F46" i="45"/>
  <c r="F42" i="45"/>
  <c r="F38" i="45"/>
  <c r="F37" i="45"/>
  <c r="F96" i="45"/>
  <c r="F69" i="45"/>
  <c r="F68" i="45"/>
  <c r="F57" i="45"/>
  <c r="F56" i="45"/>
  <c r="F33" i="45"/>
  <c r="F29" i="45"/>
  <c r="F97" i="45"/>
  <c r="F59" i="45"/>
  <c r="F58" i="45"/>
  <c r="F47" i="45"/>
  <c r="F43" i="45"/>
  <c r="F39" i="45"/>
  <c r="F88" i="45"/>
  <c r="F73" i="45"/>
  <c r="F20" i="45"/>
  <c r="F74" i="45"/>
  <c r="F81" i="45"/>
  <c r="T80" i="58"/>
  <c r="H119" i="42"/>
  <c r="R119" i="39"/>
  <c r="R110" i="39"/>
  <c r="R109" i="39"/>
  <c r="R82" i="39"/>
  <c r="R81" i="39"/>
  <c r="R66" i="39"/>
  <c r="R65" i="39"/>
  <c r="R58" i="39"/>
  <c r="R57" i="39"/>
  <c r="R49" i="39"/>
  <c r="R45" i="39"/>
  <c r="R30" i="39"/>
  <c r="R120" i="39"/>
  <c r="R88" i="39"/>
  <c r="R77" i="39"/>
  <c r="R76" i="39"/>
  <c r="R41" i="39"/>
  <c r="R40" i="39"/>
  <c r="R36" i="39"/>
  <c r="R32" i="39"/>
  <c r="R121" i="39"/>
  <c r="R111" i="39"/>
  <c r="R103" i="39"/>
  <c r="R99" i="39"/>
  <c r="R95" i="39"/>
  <c r="R83" i="39"/>
  <c r="R67" i="39"/>
  <c r="R59" i="39"/>
  <c r="R78" i="39"/>
  <c r="R50" i="39"/>
  <c r="R46" i="39"/>
  <c r="R42" i="39"/>
  <c r="R23" i="39"/>
  <c r="X12" i="39"/>
  <c r="Z12" i="39" s="1"/>
  <c r="R89" i="39"/>
  <c r="R37" i="39"/>
  <c r="R33" i="39"/>
  <c r="R112" i="39"/>
  <c r="R105" i="39"/>
  <c r="R104" i="39"/>
  <c r="R100" i="39"/>
  <c r="R96" i="39"/>
  <c r="R85" i="39"/>
  <c r="R84" i="39"/>
  <c r="R69" i="39"/>
  <c r="R68" i="39"/>
  <c r="R60" i="39"/>
  <c r="R24" i="39"/>
  <c r="R125" i="39"/>
  <c r="R79" i="39"/>
  <c r="R52" i="39"/>
  <c r="R51" i="39"/>
  <c r="R47" i="39"/>
  <c r="R43" i="39"/>
  <c r="R106" i="39"/>
  <c r="R91" i="39"/>
  <c r="R90" i="39"/>
  <c r="R86" i="39"/>
  <c r="R71" i="39"/>
  <c r="R70" i="39"/>
  <c r="R38" i="39"/>
  <c r="R34" i="39"/>
  <c r="R114" i="39"/>
  <c r="R113" i="39"/>
  <c r="R101" i="39"/>
  <c r="R97" i="39"/>
  <c r="R62" i="39"/>
  <c r="R61" i="39"/>
  <c r="R54" i="39"/>
  <c r="R53" i="39"/>
  <c r="R25" i="39"/>
  <c r="R93" i="39"/>
  <c r="R92" i="39"/>
  <c r="R80" i="39"/>
  <c r="R73" i="39"/>
  <c r="R72" i="39"/>
  <c r="R48" i="39"/>
  <c r="R44" i="39"/>
  <c r="R118" i="39"/>
  <c r="R117" i="39"/>
  <c r="R102" i="39"/>
  <c r="R98" i="39"/>
  <c r="R94" i="39"/>
  <c r="R75" i="39"/>
  <c r="R74" i="39"/>
  <c r="R31" i="39"/>
  <c r="R26" i="39"/>
  <c r="R64" i="39"/>
  <c r="R56" i="39"/>
  <c r="P28" i="39"/>
  <c r="R28" i="39" s="1"/>
  <c r="R87" i="39"/>
  <c r="R115" i="39"/>
  <c r="R107" i="39"/>
  <c r="R35" i="39"/>
  <c r="R108" i="39"/>
  <c r="R63" i="39"/>
  <c r="R55" i="39"/>
  <c r="R39" i="39"/>
  <c r="N35" i="24"/>
  <c r="H92" i="24"/>
  <c r="R125" i="36"/>
  <c r="R115" i="36"/>
  <c r="R107" i="36"/>
  <c r="R103" i="36"/>
  <c r="R99" i="36"/>
  <c r="R88" i="36"/>
  <c r="R87" i="36"/>
  <c r="R72" i="36"/>
  <c r="R71" i="36"/>
  <c r="R52" i="36"/>
  <c r="R51" i="36"/>
  <c r="R47" i="36"/>
  <c r="R43" i="36"/>
  <c r="R116" i="36"/>
  <c r="R109" i="36"/>
  <c r="R108" i="36"/>
  <c r="R104" i="36"/>
  <c r="R100" i="36"/>
  <c r="R110" i="36"/>
  <c r="R90" i="36"/>
  <c r="R118" i="36"/>
  <c r="R117" i="36"/>
  <c r="R105" i="36"/>
  <c r="R101" i="36"/>
  <c r="R78" i="36"/>
  <c r="R77" i="36"/>
  <c r="R97" i="36"/>
  <c r="R96" i="36"/>
  <c r="R85" i="36"/>
  <c r="R84" i="36"/>
  <c r="R119" i="36"/>
  <c r="R112" i="36"/>
  <c r="R111" i="36"/>
  <c r="R91" i="36"/>
  <c r="R80" i="36"/>
  <c r="R79" i="36"/>
  <c r="R68" i="36"/>
  <c r="R67" i="36"/>
  <c r="R59" i="36"/>
  <c r="R122" i="36"/>
  <c r="R121" i="36"/>
  <c r="R106" i="36"/>
  <c r="R102" i="36"/>
  <c r="R98" i="36"/>
  <c r="R86" i="36"/>
  <c r="R124" i="36"/>
  <c r="R92" i="36"/>
  <c r="R60" i="36"/>
  <c r="R63" i="36"/>
  <c r="R48" i="36"/>
  <c r="R45" i="36"/>
  <c r="R23" i="36"/>
  <c r="R93" i="36"/>
  <c r="R83" i="36"/>
  <c r="R81" i="36"/>
  <c r="R74" i="36"/>
  <c r="R58" i="36"/>
  <c r="R113" i="36"/>
  <c r="R64" i="36"/>
  <c r="R42" i="36"/>
  <c r="R37" i="36"/>
  <c r="R33" i="36"/>
  <c r="R94" i="36"/>
  <c r="R69" i="36"/>
  <c r="R55" i="36"/>
  <c r="R24" i="36"/>
  <c r="X12" i="36"/>
  <c r="Z12" i="36" s="1"/>
  <c r="R123" i="36"/>
  <c r="R114" i="36"/>
  <c r="R49" i="36"/>
  <c r="R46" i="36"/>
  <c r="R70" i="36"/>
  <c r="R56" i="36"/>
  <c r="R38" i="36"/>
  <c r="R34" i="36"/>
  <c r="R82" i="36"/>
  <c r="R65" i="36"/>
  <c r="R61" i="36"/>
  <c r="R30" i="36"/>
  <c r="R25" i="36"/>
  <c r="R62" i="36"/>
  <c r="R29" i="36"/>
  <c r="R129" i="36"/>
  <c r="R75" i="36"/>
  <c r="R39" i="36"/>
  <c r="R35" i="36"/>
  <c r="R31" i="36"/>
  <c r="P27" i="36"/>
  <c r="R95" i="36"/>
  <c r="R57" i="36"/>
  <c r="R50" i="36"/>
  <c r="R44" i="36"/>
  <c r="R89" i="36"/>
  <c r="R76" i="36"/>
  <c r="R73" i="36"/>
  <c r="R53" i="36"/>
  <c r="R66" i="36"/>
  <c r="R54" i="36"/>
  <c r="R41" i="36"/>
  <c r="R40" i="36"/>
  <c r="R36" i="36"/>
  <c r="R32" i="36"/>
  <c r="R22" i="36"/>
  <c r="D104" i="21"/>
  <c r="L24" i="21"/>
  <c r="L16" i="6"/>
  <c r="D22" i="6"/>
  <c r="R251" i="3"/>
  <c r="L18" i="50"/>
  <c r="D27" i="50"/>
  <c r="T27" i="53"/>
  <c r="Z18" i="53"/>
  <c r="N18" i="47"/>
  <c r="H27" i="47"/>
  <c r="Z18" i="49"/>
  <c r="T27" i="49"/>
  <c r="P27" i="47"/>
  <c r="X18" i="47"/>
  <c r="Z18" i="46"/>
  <c r="T27" i="46"/>
  <c r="D27" i="44"/>
  <c r="L18" i="44"/>
  <c r="D27" i="43"/>
  <c r="L18" i="43"/>
  <c r="T27" i="32"/>
  <c r="Z18" i="32"/>
  <c r="L18" i="22"/>
  <c r="D27" i="22"/>
  <c r="X18" i="13"/>
  <c r="P27" i="13"/>
  <c r="D27" i="23"/>
  <c r="L18" i="23"/>
  <c r="L18" i="14"/>
  <c r="D27" i="14"/>
  <c r="X18" i="5"/>
  <c r="P27" i="5"/>
  <c r="X18" i="4"/>
  <c r="P27" i="4"/>
  <c r="L18" i="10"/>
  <c r="D27" i="10"/>
  <c r="H27" i="5"/>
  <c r="N18" i="5"/>
  <c r="T27" i="11"/>
  <c r="Z18" i="11"/>
  <c r="F98" i="42"/>
  <c r="F94" i="42"/>
  <c r="F90" i="42"/>
  <c r="F89" i="42"/>
  <c r="F70" i="42"/>
  <c r="F69" i="42"/>
  <c r="F58" i="42"/>
  <c r="F50" i="42"/>
  <c r="F49" i="42"/>
  <c r="F22" i="42"/>
  <c r="F114" i="42"/>
  <c r="F105" i="42"/>
  <c r="F104" i="42"/>
  <c r="F115" i="42"/>
  <c r="F113" i="42"/>
  <c r="F84" i="42"/>
  <c r="F116" i="42"/>
  <c r="F107" i="42"/>
  <c r="F106" i="42"/>
  <c r="F99" i="42"/>
  <c r="F95" i="42"/>
  <c r="F91" i="42"/>
  <c r="F79" i="42"/>
  <c r="F78" i="42"/>
  <c r="F23" i="42"/>
  <c r="F117" i="42"/>
  <c r="F85" i="42"/>
  <c r="F108" i="42"/>
  <c r="F121" i="42"/>
  <c r="F102" i="42"/>
  <c r="F101" i="42"/>
  <c r="F86" i="42"/>
  <c r="F82" i="42"/>
  <c r="F81" i="42"/>
  <c r="F66" i="42"/>
  <c r="F65" i="42"/>
  <c r="F34" i="42"/>
  <c r="F30" i="42"/>
  <c r="F109" i="42"/>
  <c r="F97" i="42"/>
  <c r="F93" i="42"/>
  <c r="F57" i="42"/>
  <c r="F21" i="42"/>
  <c r="F20" i="42"/>
  <c r="F111" i="42"/>
  <c r="F110" i="42"/>
  <c r="F103" i="42"/>
  <c r="F83" i="42"/>
  <c r="F35" i="42"/>
  <c r="F31" i="42"/>
  <c r="F92" i="42"/>
  <c r="F77" i="42"/>
  <c r="F63" i="42"/>
  <c r="F55" i="42"/>
  <c r="F52" i="42"/>
  <c r="F45" i="42"/>
  <c r="F38" i="42"/>
  <c r="F27" i="42"/>
  <c r="F75" i="42"/>
  <c r="F72" i="42"/>
  <c r="F60" i="42"/>
  <c r="F47" i="42"/>
  <c r="F41" i="42"/>
  <c r="F80" i="42"/>
  <c r="F43" i="42"/>
  <c r="F33" i="42"/>
  <c r="F67" i="42"/>
  <c r="F39" i="42"/>
  <c r="F28" i="42"/>
  <c r="F64" i="42"/>
  <c r="F61" i="42"/>
  <c r="F56" i="42"/>
  <c r="F53" i="42"/>
  <c r="F36" i="42"/>
  <c r="F76" i="42"/>
  <c r="F73" i="42"/>
  <c r="F68" i="42"/>
  <c r="F48" i="42"/>
  <c r="F96" i="42"/>
  <c r="F87" i="42"/>
  <c r="F62" i="42"/>
  <c r="F54" i="42"/>
  <c r="F46" i="42"/>
  <c r="F74" i="42"/>
  <c r="F44" i="42"/>
  <c r="F42" i="42"/>
  <c r="F29" i="42"/>
  <c r="F25" i="42"/>
  <c r="F100" i="42"/>
  <c r="F88" i="42"/>
  <c r="F71" i="42"/>
  <c r="F59" i="42"/>
  <c r="F37" i="42"/>
  <c r="F32" i="42"/>
  <c r="F40" i="42"/>
  <c r="F51" i="42"/>
  <c r="D25" i="42"/>
  <c r="L12" i="42"/>
  <c r="N12" i="42" s="1"/>
  <c r="X18" i="28"/>
  <c r="P27" i="28"/>
  <c r="N18" i="28"/>
  <c r="H27" i="28"/>
  <c r="H27" i="17"/>
  <c r="N18" i="17"/>
  <c r="T27" i="8"/>
  <c r="Z18" i="8"/>
  <c r="L18" i="5"/>
  <c r="D27" i="5"/>
  <c r="N16" i="104"/>
  <c r="H24" i="104"/>
  <c r="T71" i="109"/>
  <c r="Z17" i="109"/>
  <c r="T99" i="105"/>
  <c r="P24" i="104"/>
  <c r="X16" i="104"/>
  <c r="R68" i="93"/>
  <c r="R64" i="93"/>
  <c r="R49" i="93"/>
  <c r="R48" i="93"/>
  <c r="R40" i="93"/>
  <c r="R36" i="93"/>
  <c r="R21" i="93"/>
  <c r="R19" i="93"/>
  <c r="R75" i="93"/>
  <c r="R69" i="93"/>
  <c r="R65" i="93"/>
  <c r="R60" i="93"/>
  <c r="R53" i="93"/>
  <c r="R52" i="93"/>
  <c r="R28" i="93"/>
  <c r="R24" i="93"/>
  <c r="R81" i="93"/>
  <c r="R86" i="93"/>
  <c r="R83" i="93"/>
  <c r="R71" i="93"/>
  <c r="R70" i="93"/>
  <c r="R66" i="93"/>
  <c r="R55" i="93"/>
  <c r="R54" i="93"/>
  <c r="R43" i="93"/>
  <c r="R42" i="93"/>
  <c r="R38" i="93"/>
  <c r="R34" i="93"/>
  <c r="R47" i="93"/>
  <c r="R46" i="93"/>
  <c r="R30" i="93"/>
  <c r="R26" i="93"/>
  <c r="R73" i="93"/>
  <c r="R61" i="93"/>
  <c r="R56" i="93"/>
  <c r="R37" i="93"/>
  <c r="R29" i="93"/>
  <c r="R77" i="93"/>
  <c r="R51" i="93"/>
  <c r="R59" i="93"/>
  <c r="R74" i="93"/>
  <c r="R62" i="93"/>
  <c r="R35" i="93"/>
  <c r="R27" i="93"/>
  <c r="R16" i="93"/>
  <c r="R57" i="93"/>
  <c r="R22" i="93"/>
  <c r="R33" i="93"/>
  <c r="R25" i="93"/>
  <c r="R17" i="93"/>
  <c r="R79" i="93"/>
  <c r="R67" i="93"/>
  <c r="R41" i="93"/>
  <c r="R72" i="93"/>
  <c r="R44" i="93"/>
  <c r="R23" i="93"/>
  <c r="P19" i="93"/>
  <c r="X12" i="93"/>
  <c r="R45" i="93"/>
  <c r="R39" i="93"/>
  <c r="R31" i="93"/>
  <c r="R58" i="93"/>
  <c r="R32" i="93"/>
  <c r="R50" i="93"/>
  <c r="R63" i="93"/>
  <c r="T86" i="91"/>
  <c r="T83" i="93"/>
  <c r="D88" i="83"/>
  <c r="L21" i="83"/>
  <c r="N21" i="83" s="1"/>
  <c r="T88" i="83"/>
  <c r="R77" i="72"/>
  <c r="R74" i="72"/>
  <c r="R61" i="72"/>
  <c r="R54" i="72"/>
  <c r="R53" i="72"/>
  <c r="R29" i="72"/>
  <c r="R25" i="72"/>
  <c r="R45" i="72"/>
  <c r="R44" i="72"/>
  <c r="R16" i="72"/>
  <c r="R56" i="72"/>
  <c r="R55" i="72"/>
  <c r="R39" i="72"/>
  <c r="R35" i="72"/>
  <c r="R63" i="72"/>
  <c r="R62" i="72"/>
  <c r="R47" i="72"/>
  <c r="R46" i="72"/>
  <c r="R30" i="72"/>
  <c r="R26" i="72"/>
  <c r="X12" i="72"/>
  <c r="Z12" i="72" s="1"/>
  <c r="R57" i="72"/>
  <c r="R22" i="72"/>
  <c r="R17" i="72"/>
  <c r="R65" i="72"/>
  <c r="R64" i="72"/>
  <c r="R49" i="72"/>
  <c r="R48" i="72"/>
  <c r="R40" i="72"/>
  <c r="R36" i="72"/>
  <c r="R21" i="72"/>
  <c r="R19" i="72"/>
  <c r="R32" i="72"/>
  <c r="R31" i="72"/>
  <c r="R27" i="72"/>
  <c r="R23" i="72"/>
  <c r="P19" i="72"/>
  <c r="R66" i="72"/>
  <c r="R58" i="72"/>
  <c r="R51" i="72"/>
  <c r="R50" i="72"/>
  <c r="R70" i="72"/>
  <c r="R68" i="72"/>
  <c r="R41" i="72"/>
  <c r="R37" i="72"/>
  <c r="R33" i="72"/>
  <c r="R72" i="72"/>
  <c r="R43" i="72"/>
  <c r="R42" i="72"/>
  <c r="R38" i="72"/>
  <c r="R34" i="72"/>
  <c r="R15" i="72"/>
  <c r="R24" i="72"/>
  <c r="R60" i="72"/>
  <c r="R28" i="72"/>
  <c r="R52" i="72"/>
  <c r="R59" i="72"/>
  <c r="H92" i="68"/>
  <c r="H60" i="61"/>
  <c r="N16" i="61"/>
  <c r="Z16" i="59"/>
  <c r="T69" i="59"/>
  <c r="D76" i="58"/>
  <c r="L16" i="58"/>
  <c r="H115" i="70"/>
  <c r="J111" i="70"/>
  <c r="H37" i="55"/>
  <c r="P100" i="51"/>
  <c r="X45" i="51"/>
  <c r="H80" i="33"/>
  <c r="T169" i="30"/>
  <c r="R78" i="33"/>
  <c r="R77" i="33"/>
  <c r="R62" i="33"/>
  <c r="R46" i="33"/>
  <c r="R42" i="33"/>
  <c r="R69" i="33"/>
  <c r="R54" i="33"/>
  <c r="R53" i="33"/>
  <c r="R37" i="33"/>
  <c r="R33" i="33"/>
  <c r="R29" i="33"/>
  <c r="R64" i="33"/>
  <c r="R63" i="33"/>
  <c r="R56" i="33"/>
  <c r="R55" i="33"/>
  <c r="R47" i="33"/>
  <c r="R43" i="33"/>
  <c r="R28" i="33"/>
  <c r="R24" i="33"/>
  <c r="R82" i="33"/>
  <c r="R70" i="33"/>
  <c r="R39" i="33"/>
  <c r="R38" i="33"/>
  <c r="R34" i="33"/>
  <c r="R30" i="33"/>
  <c r="P26" i="33"/>
  <c r="R26" i="33" s="1"/>
  <c r="R66" i="33"/>
  <c r="R65" i="33"/>
  <c r="R58" i="33"/>
  <c r="R57" i="33"/>
  <c r="R48" i="33"/>
  <c r="R44" i="33"/>
  <c r="R40" i="33"/>
  <c r="R72" i="33"/>
  <c r="R71" i="33"/>
  <c r="R67" i="33"/>
  <c r="R59" i="33"/>
  <c r="R35" i="33"/>
  <c r="R31" i="33"/>
  <c r="R74" i="33"/>
  <c r="R73" i="33"/>
  <c r="R50" i="33"/>
  <c r="R49" i="33"/>
  <c r="R45" i="33"/>
  <c r="R41" i="33"/>
  <c r="R75" i="33"/>
  <c r="R52" i="33"/>
  <c r="R51" i="33"/>
  <c r="R61" i="33"/>
  <c r="R68" i="33"/>
  <c r="R36" i="33"/>
  <c r="R32" i="33"/>
  <c r="R60" i="33"/>
  <c r="X12" i="33"/>
  <c r="Z12" i="33" s="1"/>
  <c r="N16" i="6"/>
  <c r="H22" i="6"/>
  <c r="X18" i="111"/>
  <c r="P27" i="111"/>
  <c r="H27" i="52"/>
  <c r="N18" i="52"/>
  <c r="T27" i="44"/>
  <c r="Z18" i="44"/>
  <c r="T27" i="43"/>
  <c r="Z18" i="43"/>
  <c r="D27" i="46"/>
  <c r="L18" i="46"/>
  <c r="H27" i="37"/>
  <c r="N18" i="37"/>
  <c r="D27" i="41"/>
  <c r="L18" i="41"/>
  <c r="T27" i="34"/>
  <c r="Z18" i="34"/>
  <c r="X18" i="26"/>
  <c r="P27" i="26"/>
  <c r="D27" i="17"/>
  <c r="L18" i="17"/>
  <c r="T27" i="7"/>
  <c r="Z18" i="7"/>
  <c r="T28" i="85"/>
  <c r="V20" i="85"/>
  <c r="P27" i="50"/>
  <c r="X18" i="50"/>
  <c r="Z18" i="41"/>
  <c r="T27" i="41"/>
  <c r="L18" i="32"/>
  <c r="D27" i="32"/>
  <c r="D27" i="13"/>
  <c r="L18" i="13"/>
  <c r="N18" i="13"/>
  <c r="H27" i="13"/>
  <c r="R97" i="105"/>
  <c r="R64" i="105"/>
  <c r="R63" i="105"/>
  <c r="R52" i="105"/>
  <c r="R51" i="105"/>
  <c r="R35" i="105"/>
  <c r="R31" i="105"/>
  <c r="R27" i="105"/>
  <c r="P23" i="105"/>
  <c r="R87" i="105"/>
  <c r="R86" i="105"/>
  <c r="R82" i="105"/>
  <c r="R78" i="105"/>
  <c r="R71" i="105"/>
  <c r="R70" i="105"/>
  <c r="R66" i="105"/>
  <c r="R65" i="105"/>
  <c r="R54" i="105"/>
  <c r="R53" i="105"/>
  <c r="R45" i="105"/>
  <c r="R41" i="105"/>
  <c r="R18" i="105"/>
  <c r="R88" i="105"/>
  <c r="R72" i="105"/>
  <c r="R37" i="105"/>
  <c r="R36" i="105"/>
  <c r="R32" i="105"/>
  <c r="R28" i="105"/>
  <c r="X12" i="105"/>
  <c r="Z12" i="105" s="1"/>
  <c r="R83" i="105"/>
  <c r="R79" i="105"/>
  <c r="R67" i="105"/>
  <c r="R56" i="105"/>
  <c r="R55" i="105"/>
  <c r="R46" i="105"/>
  <c r="R42" i="105"/>
  <c r="R38" i="105"/>
  <c r="R90" i="105"/>
  <c r="R89" i="105"/>
  <c r="R73" i="105"/>
  <c r="R58" i="105"/>
  <c r="R57" i="105"/>
  <c r="R33" i="105"/>
  <c r="R29" i="105"/>
  <c r="R84" i="105"/>
  <c r="R80" i="105"/>
  <c r="R68" i="105"/>
  <c r="R20" i="105"/>
  <c r="R91" i="105"/>
  <c r="R60" i="105"/>
  <c r="R59" i="105"/>
  <c r="R48" i="105"/>
  <c r="R47" i="105"/>
  <c r="R43" i="105"/>
  <c r="R39" i="105"/>
  <c r="R77" i="105"/>
  <c r="R76" i="105"/>
  <c r="R44" i="105"/>
  <c r="R40" i="105"/>
  <c r="R25" i="105"/>
  <c r="R23" i="105"/>
  <c r="R50" i="105"/>
  <c r="R85" i="105"/>
  <c r="R62" i="105"/>
  <c r="R75" i="105"/>
  <c r="R69" i="105"/>
  <c r="R26" i="105"/>
  <c r="R93" i="105"/>
  <c r="R49" i="105"/>
  <c r="R81" i="105"/>
  <c r="R74" i="105"/>
  <c r="R34" i="105"/>
  <c r="R61" i="105"/>
  <c r="R30" i="105"/>
  <c r="R21" i="105"/>
  <c r="R19" i="105"/>
  <c r="Z16" i="108"/>
  <c r="T24" i="108"/>
  <c r="D56" i="102"/>
  <c r="L16" i="102"/>
  <c r="N19" i="93"/>
  <c r="H79" i="93"/>
  <c r="H86" i="91"/>
  <c r="L82" i="91"/>
  <c r="N82" i="91" s="1"/>
  <c r="D86" i="91"/>
  <c r="P36" i="88"/>
  <c r="D70" i="80"/>
  <c r="L19" i="80"/>
  <c r="H49" i="82"/>
  <c r="J70" i="72"/>
  <c r="H74" i="72"/>
  <c r="F80" i="68"/>
  <c r="F79" i="68"/>
  <c r="F72" i="68"/>
  <c r="F71" i="68"/>
  <c r="F32" i="68"/>
  <c r="F28" i="68"/>
  <c r="F63" i="68"/>
  <c r="F62" i="68"/>
  <c r="F55" i="68"/>
  <c r="F51" i="68"/>
  <c r="F81" i="68"/>
  <c r="F65" i="68"/>
  <c r="F64" i="68"/>
  <c r="F33" i="68"/>
  <c r="F29" i="68"/>
  <c r="F88" i="68"/>
  <c r="F87" i="68"/>
  <c r="F56" i="68"/>
  <c r="F52" i="68"/>
  <c r="F48" i="68"/>
  <c r="F47" i="68"/>
  <c r="F75" i="68"/>
  <c r="F43" i="68"/>
  <c r="F39" i="68"/>
  <c r="F38" i="68"/>
  <c r="F82" i="68"/>
  <c r="F66" i="68"/>
  <c r="F37" i="68"/>
  <c r="F35" i="68"/>
  <c r="F30" i="68"/>
  <c r="F26" i="68"/>
  <c r="F25" i="68"/>
  <c r="L12" i="68"/>
  <c r="N12" i="68" s="1"/>
  <c r="F92" i="68"/>
  <c r="F90" i="68"/>
  <c r="F77" i="68"/>
  <c r="F76" i="68"/>
  <c r="F57" i="68"/>
  <c r="F53" i="68"/>
  <c r="F49" i="68"/>
  <c r="F94" i="68"/>
  <c r="F68" i="68"/>
  <c r="F67" i="68"/>
  <c r="F44" i="68"/>
  <c r="F40" i="68"/>
  <c r="F83" i="68"/>
  <c r="F59" i="68"/>
  <c r="F58" i="68"/>
  <c r="F31" i="68"/>
  <c r="F27" i="68"/>
  <c r="F86" i="68"/>
  <c r="F84" i="68"/>
  <c r="F69" i="68"/>
  <c r="F78" i="68"/>
  <c r="F99" i="68"/>
  <c r="F74" i="68"/>
  <c r="F45" i="68"/>
  <c r="F41" i="68"/>
  <c r="F61" i="68"/>
  <c r="F70" i="68"/>
  <c r="F96" i="68"/>
  <c r="D35" i="68"/>
  <c r="F85" i="68"/>
  <c r="F50" i="68"/>
  <c r="F54" i="68"/>
  <c r="F46" i="68"/>
  <c r="F42" i="68"/>
  <c r="F60" i="68"/>
  <c r="F73" i="68"/>
  <c r="P58" i="60"/>
  <c r="X16" i="60"/>
  <c r="D103" i="63"/>
  <c r="D73" i="59"/>
  <c r="L16" i="54"/>
  <c r="D22" i="54"/>
  <c r="P75" i="48"/>
  <c r="T80" i="33"/>
  <c r="V26" i="33"/>
  <c r="H130" i="39"/>
  <c r="F239" i="18"/>
  <c r="F206" i="18"/>
  <c r="F178" i="18"/>
  <c r="F177" i="18"/>
  <c r="F170" i="18"/>
  <c r="F169" i="18"/>
  <c r="F162" i="18"/>
  <c r="F161" i="18"/>
  <c r="F146" i="18"/>
  <c r="F142" i="18"/>
  <c r="F138" i="18"/>
  <c r="F137" i="18"/>
  <c r="F229" i="18"/>
  <c r="F221" i="18"/>
  <c r="F217" i="18"/>
  <c r="F213" i="18"/>
  <c r="F212" i="18"/>
  <c r="F201" i="18"/>
  <c r="F185" i="18"/>
  <c r="F136" i="18"/>
  <c r="F134" i="18"/>
  <c r="F129" i="18"/>
  <c r="F125" i="18"/>
  <c r="F121" i="18"/>
  <c r="F117" i="18"/>
  <c r="F113" i="18"/>
  <c r="F109" i="18"/>
  <c r="F105" i="18"/>
  <c r="F101" i="18"/>
  <c r="F97" i="18"/>
  <c r="F93" i="18"/>
  <c r="F196" i="18"/>
  <c r="F180" i="18"/>
  <c r="F179" i="18"/>
  <c r="F156" i="18"/>
  <c r="F152" i="18"/>
  <c r="D134" i="18"/>
  <c r="F243" i="18"/>
  <c r="F223" i="18"/>
  <c r="F222" i="18"/>
  <c r="F207" i="18"/>
  <c r="F187" i="18"/>
  <c r="F186" i="18"/>
  <c r="F171" i="18"/>
  <c r="F163" i="18"/>
  <c r="F147" i="18"/>
  <c r="F143" i="18"/>
  <c r="F139" i="18"/>
  <c r="F230" i="18"/>
  <c r="F218" i="18"/>
  <c r="F214" i="18"/>
  <c r="F202" i="18"/>
  <c r="F130" i="18"/>
  <c r="F126" i="18"/>
  <c r="F122" i="18"/>
  <c r="F118" i="18"/>
  <c r="F114" i="18"/>
  <c r="F110" i="18"/>
  <c r="F106" i="18"/>
  <c r="F102" i="18"/>
  <c r="F98" i="18"/>
  <c r="F94" i="18"/>
  <c r="F197" i="18"/>
  <c r="F189" i="18"/>
  <c r="F188" i="18"/>
  <c r="F181" i="18"/>
  <c r="F173" i="18"/>
  <c r="F172" i="18"/>
  <c r="F165" i="18"/>
  <c r="F164" i="18"/>
  <c r="F157" i="18"/>
  <c r="F153" i="18"/>
  <c r="F149" i="18"/>
  <c r="F148" i="18"/>
  <c r="F232" i="18"/>
  <c r="F231" i="18"/>
  <c r="F224" i="18"/>
  <c r="F208" i="18"/>
  <c r="F144" i="18"/>
  <c r="F140" i="18"/>
  <c r="L12" i="18"/>
  <c r="N12" i="18" s="1"/>
  <c r="F219" i="18"/>
  <c r="F215" i="18"/>
  <c r="F203" i="18"/>
  <c r="F191" i="18"/>
  <c r="F190" i="18"/>
  <c r="F183" i="18"/>
  <c r="F182" i="18"/>
  <c r="F167" i="18"/>
  <c r="F166" i="18"/>
  <c r="F131" i="18"/>
  <c r="F127" i="18"/>
  <c r="F123" i="18"/>
  <c r="F119" i="18"/>
  <c r="F115" i="18"/>
  <c r="F111" i="18"/>
  <c r="F107" i="18"/>
  <c r="F103" i="18"/>
  <c r="F99" i="18"/>
  <c r="F95" i="18"/>
  <c r="F91" i="18"/>
  <c r="F90" i="18"/>
  <c r="F235" i="18"/>
  <c r="F226" i="18"/>
  <c r="F225" i="18"/>
  <c r="F210" i="18"/>
  <c r="F209" i="18"/>
  <c r="F198" i="18"/>
  <c r="F174" i="18"/>
  <c r="F158" i="18"/>
  <c r="F154" i="18"/>
  <c r="F150" i="18"/>
  <c r="F236" i="18"/>
  <c r="F234" i="18"/>
  <c r="F205" i="18"/>
  <c r="F204" i="18"/>
  <c r="F193" i="18"/>
  <c r="F192" i="18"/>
  <c r="F145" i="18"/>
  <c r="F141" i="18"/>
  <c r="F238" i="18"/>
  <c r="F211" i="18"/>
  <c r="F195" i="18"/>
  <c r="F194" i="18"/>
  <c r="F155" i="18"/>
  <c r="F151" i="18"/>
  <c r="F200" i="18"/>
  <c r="F160" i="18"/>
  <c r="F128" i="18"/>
  <c r="F104" i="18"/>
  <c r="F176" i="18"/>
  <c r="F132" i="18"/>
  <c r="F108" i="18"/>
  <c r="F227" i="18"/>
  <c r="F216" i="18"/>
  <c r="F112" i="18"/>
  <c r="F116" i="18"/>
  <c r="F92" i="18"/>
  <c r="F237" i="18"/>
  <c r="F199" i="18"/>
  <c r="F159" i="18"/>
  <c r="F228" i="18"/>
  <c r="F168" i="18"/>
  <c r="F120" i="18"/>
  <c r="F96" i="18"/>
  <c r="F175" i="18"/>
  <c r="F220" i="18"/>
  <c r="F100" i="18"/>
  <c r="F184" i="18"/>
  <c r="F124" i="18"/>
  <c r="D102" i="9"/>
  <c r="L17" i="9"/>
  <c r="X18" i="112"/>
  <c r="P27" i="112"/>
  <c r="T27" i="110"/>
  <c r="Z18" i="110"/>
  <c r="X18" i="53"/>
  <c r="P27" i="53"/>
  <c r="X18" i="43"/>
  <c r="P27" i="43"/>
  <c r="T27" i="50"/>
  <c r="Z18" i="50"/>
  <c r="D27" i="38"/>
  <c r="L18" i="38"/>
  <c r="X18" i="34"/>
  <c r="P27" i="34"/>
  <c r="T27" i="22"/>
  <c r="Z18" i="22"/>
  <c r="H27" i="19"/>
  <c r="N18" i="19"/>
  <c r="L18" i="19"/>
  <c r="D27" i="19"/>
  <c r="X18" i="10"/>
  <c r="P27" i="10"/>
  <c r="T27" i="5"/>
  <c r="Z18" i="5"/>
  <c r="H27" i="10"/>
  <c r="N18" i="10"/>
  <c r="L18" i="4"/>
  <c r="D27" i="4"/>
  <c r="L18" i="8"/>
  <c r="D27" i="8"/>
  <c r="H147" i="74"/>
  <c r="T111" i="70"/>
  <c r="H67" i="69"/>
  <c r="N63" i="69"/>
  <c r="H58" i="60"/>
  <c r="L58" i="60" s="1"/>
  <c r="N16" i="60"/>
  <c r="H100" i="51"/>
  <c r="R138" i="30"/>
  <c r="R115" i="30"/>
  <c r="R114" i="30"/>
  <c r="R79" i="30"/>
  <c r="R74" i="30"/>
  <c r="R70" i="30"/>
  <c r="R66" i="30"/>
  <c r="R62" i="30"/>
  <c r="R58" i="30"/>
  <c r="R54" i="30"/>
  <c r="R126" i="30"/>
  <c r="R125" i="30"/>
  <c r="R106" i="30"/>
  <c r="R105" i="30"/>
  <c r="R97" i="30"/>
  <c r="R93" i="30"/>
  <c r="R78" i="30"/>
  <c r="R157" i="30"/>
  <c r="R156" i="30"/>
  <c r="R149" i="30"/>
  <c r="R148" i="30"/>
  <c r="R144" i="30"/>
  <c r="R133" i="30"/>
  <c r="R132" i="30"/>
  <c r="R116" i="30"/>
  <c r="R89" i="30"/>
  <c r="R88" i="30"/>
  <c r="R84" i="30"/>
  <c r="R80" i="30"/>
  <c r="R140" i="30"/>
  <c r="R139" i="30"/>
  <c r="R127" i="30"/>
  <c r="R108" i="30"/>
  <c r="R107" i="30"/>
  <c r="R71" i="30"/>
  <c r="R67" i="30"/>
  <c r="R63" i="30"/>
  <c r="R59" i="30"/>
  <c r="R55" i="30"/>
  <c r="R158" i="30"/>
  <c r="R150" i="30"/>
  <c r="R134" i="30"/>
  <c r="R98" i="30"/>
  <c r="R94" i="30"/>
  <c r="R90" i="30"/>
  <c r="R161" i="30"/>
  <c r="R160" i="30"/>
  <c r="R145" i="30"/>
  <c r="R141" i="30"/>
  <c r="R118" i="30"/>
  <c r="R117" i="30"/>
  <c r="R110" i="30"/>
  <c r="R109" i="30"/>
  <c r="R85" i="30"/>
  <c r="R162" i="30"/>
  <c r="R129" i="30"/>
  <c r="R128" i="30"/>
  <c r="R72" i="30"/>
  <c r="R68" i="30"/>
  <c r="R64" i="30"/>
  <c r="R60" i="30"/>
  <c r="R56" i="30"/>
  <c r="R163" i="30"/>
  <c r="R152" i="30"/>
  <c r="R151" i="30"/>
  <c r="R135" i="30"/>
  <c r="R120" i="30"/>
  <c r="R119" i="30"/>
  <c r="R112" i="30"/>
  <c r="R111" i="30"/>
  <c r="R100" i="30"/>
  <c r="R99" i="30"/>
  <c r="R95" i="30"/>
  <c r="R91" i="30"/>
  <c r="R52" i="30"/>
  <c r="R146" i="30"/>
  <c r="R142" i="30"/>
  <c r="R130" i="30"/>
  <c r="R86" i="30"/>
  <c r="R82" i="30"/>
  <c r="R154" i="30"/>
  <c r="R153" i="30"/>
  <c r="R122" i="30"/>
  <c r="R121" i="30"/>
  <c r="R113" i="30"/>
  <c r="R102" i="30"/>
  <c r="R101" i="30"/>
  <c r="R73" i="30"/>
  <c r="R69" i="30"/>
  <c r="R65" i="30"/>
  <c r="R61" i="30"/>
  <c r="R57" i="30"/>
  <c r="R53" i="30"/>
  <c r="R167" i="30"/>
  <c r="R155" i="30"/>
  <c r="R147" i="30"/>
  <c r="R143" i="30"/>
  <c r="R131" i="30"/>
  <c r="R124" i="30"/>
  <c r="R123" i="30"/>
  <c r="R104" i="30"/>
  <c r="R103" i="30"/>
  <c r="R87" i="30"/>
  <c r="R83" i="30"/>
  <c r="R136" i="30"/>
  <c r="R96" i="30"/>
  <c r="R92" i="30"/>
  <c r="P76" i="30"/>
  <c r="R76" i="30" s="1"/>
  <c r="X12" i="30"/>
  <c r="Z12" i="30" s="1"/>
  <c r="R81" i="30"/>
  <c r="R137" i="30"/>
  <c r="H225" i="12"/>
  <c r="T102" i="9"/>
  <c r="Z17" i="9"/>
  <c r="T225" i="12"/>
  <c r="D27" i="53"/>
  <c r="L18" i="53"/>
  <c r="H27" i="50"/>
  <c r="N18" i="50"/>
  <c r="X18" i="40"/>
  <c r="P27" i="40"/>
  <c r="X18" i="31"/>
  <c r="P27" i="31"/>
  <c r="H27" i="32"/>
  <c r="N18" i="32"/>
  <c r="L18" i="31"/>
  <c r="D27" i="31"/>
  <c r="H27" i="4"/>
  <c r="N18" i="4"/>
  <c r="X18" i="8"/>
  <c r="P27" i="8"/>
  <c r="H27" i="7"/>
  <c r="N18" i="7"/>
  <c r="Z16" i="100"/>
  <c r="T30" i="100"/>
  <c r="H34" i="100"/>
  <c r="Z18" i="47"/>
  <c r="T27" i="47"/>
  <c r="Z16" i="104"/>
  <c r="T24" i="104"/>
  <c r="F81" i="97"/>
  <c r="F48" i="97"/>
  <c r="F40" i="97"/>
  <c r="F36" i="97"/>
  <c r="F32" i="97"/>
  <c r="F31" i="97"/>
  <c r="F84" i="97"/>
  <c r="F27" i="97"/>
  <c r="F23" i="97"/>
  <c r="F22" i="97"/>
  <c r="F86" i="97"/>
  <c r="F74" i="97"/>
  <c r="F70" i="97"/>
  <c r="F66" i="97"/>
  <c r="F58" i="97"/>
  <c r="F50" i="97"/>
  <c r="F49" i="97"/>
  <c r="F21" i="97"/>
  <c r="F19" i="97"/>
  <c r="F41" i="97"/>
  <c r="F37" i="97"/>
  <c r="F33" i="97"/>
  <c r="F76" i="97"/>
  <c r="F75" i="97"/>
  <c r="F60" i="97"/>
  <c r="F59" i="97"/>
  <c r="F52" i="97"/>
  <c r="F51" i="97"/>
  <c r="F28" i="97"/>
  <c r="F91" i="97"/>
  <c r="F88" i="97"/>
  <c r="F71" i="97"/>
  <c r="F67" i="97"/>
  <c r="F43" i="97"/>
  <c r="F42" i="97"/>
  <c r="F54" i="97"/>
  <c r="F53" i="97"/>
  <c r="F38" i="97"/>
  <c r="F34" i="97"/>
  <c r="F77" i="97"/>
  <c r="F61" i="97"/>
  <c r="F45" i="97"/>
  <c r="F44" i="97"/>
  <c r="F29" i="97"/>
  <c r="F25" i="97"/>
  <c r="F72" i="97"/>
  <c r="F68" i="97"/>
  <c r="F56" i="97"/>
  <c r="F55" i="97"/>
  <c r="L12" i="97"/>
  <c r="F82" i="97"/>
  <c r="F73" i="97"/>
  <c r="F69" i="97"/>
  <c r="F65" i="97"/>
  <c r="F64" i="97"/>
  <c r="F57" i="97"/>
  <c r="F17" i="97"/>
  <c r="F16" i="97"/>
  <c r="F79" i="97"/>
  <c r="F24" i="97"/>
  <c r="F26" i="97"/>
  <c r="F46" i="97"/>
  <c r="F30" i="97"/>
  <c r="F62" i="97"/>
  <c r="D19" i="97"/>
  <c r="F78" i="97"/>
  <c r="F35" i="97"/>
  <c r="F39" i="97"/>
  <c r="F47" i="97"/>
  <c r="F63" i="97"/>
  <c r="H86" i="107"/>
  <c r="Z17" i="98"/>
  <c r="T25" i="98"/>
  <c r="D96" i="95"/>
  <c r="L23" i="95"/>
  <c r="N23" i="95" s="1"/>
  <c r="D82" i="94"/>
  <c r="L78" i="94"/>
  <c r="N16" i="88"/>
  <c r="H32" i="88"/>
  <c r="L32" i="88" s="1"/>
  <c r="D36" i="88"/>
  <c r="T147" i="74"/>
  <c r="D70" i="72"/>
  <c r="L19" i="72"/>
  <c r="N19" i="72" s="1"/>
  <c r="J45" i="51"/>
  <c r="X16" i="54"/>
  <c r="P22" i="54"/>
  <c r="F94" i="51"/>
  <c r="F93" i="51"/>
  <c r="F86" i="51"/>
  <c r="F85" i="51"/>
  <c r="F98" i="51"/>
  <c r="F96" i="51"/>
  <c r="F89" i="51"/>
  <c r="F102" i="51"/>
  <c r="F68" i="51"/>
  <c r="F64" i="51"/>
  <c r="F60" i="51"/>
  <c r="F59" i="51"/>
  <c r="L12" i="51"/>
  <c r="N12" i="51" s="1"/>
  <c r="F79" i="51"/>
  <c r="F78" i="51"/>
  <c r="F55" i="51"/>
  <c r="F51" i="51"/>
  <c r="F92" i="51"/>
  <c r="F42" i="51"/>
  <c r="F38" i="51"/>
  <c r="F34" i="51"/>
  <c r="F69" i="51"/>
  <c r="F65" i="51"/>
  <c r="F61" i="51"/>
  <c r="F87" i="51"/>
  <c r="F80" i="51"/>
  <c r="F56" i="51"/>
  <c r="F52" i="51"/>
  <c r="F71" i="51"/>
  <c r="F70" i="51"/>
  <c r="F43" i="51"/>
  <c r="F39" i="51"/>
  <c r="F35" i="51"/>
  <c r="F90" i="51"/>
  <c r="F82" i="51"/>
  <c r="F81" i="51"/>
  <c r="F66" i="51"/>
  <c r="F62" i="51"/>
  <c r="F73" i="51"/>
  <c r="F72" i="51"/>
  <c r="F57" i="51"/>
  <c r="F53" i="51"/>
  <c r="F49" i="51"/>
  <c r="F48" i="51"/>
  <c r="F88" i="51"/>
  <c r="F83" i="51"/>
  <c r="F47" i="51"/>
  <c r="F40" i="51"/>
  <c r="F36" i="51"/>
  <c r="F97" i="51"/>
  <c r="F77" i="51"/>
  <c r="F76" i="51"/>
  <c r="F41" i="51"/>
  <c r="F37" i="51"/>
  <c r="F33" i="51"/>
  <c r="F32" i="51"/>
  <c r="F91" i="51"/>
  <c r="F58" i="51"/>
  <c r="F67" i="51"/>
  <c r="D45" i="51"/>
  <c r="F45" i="51" s="1"/>
  <c r="F84" i="51"/>
  <c r="F75" i="51"/>
  <c r="F50" i="51"/>
  <c r="F74" i="51"/>
  <c r="F63" i="51"/>
  <c r="F54" i="51"/>
  <c r="L35" i="24"/>
  <c r="D92" i="24"/>
  <c r="R190" i="15"/>
  <c r="R189" i="15"/>
  <c r="R173" i="15"/>
  <c r="R133" i="15"/>
  <c r="R129" i="15"/>
  <c r="R114" i="15"/>
  <c r="R112" i="15"/>
  <c r="R184" i="15"/>
  <c r="R157" i="15"/>
  <c r="R156" i="15"/>
  <c r="R148" i="15"/>
  <c r="R140" i="15"/>
  <c r="R124" i="15"/>
  <c r="R120" i="15"/>
  <c r="R116" i="15"/>
  <c r="P112" i="15"/>
  <c r="R207" i="15"/>
  <c r="R200" i="15"/>
  <c r="R199" i="15"/>
  <c r="R195" i="15"/>
  <c r="R191" i="15"/>
  <c r="R179" i="15"/>
  <c r="R164" i="15"/>
  <c r="R163" i="15"/>
  <c r="R220" i="15"/>
  <c r="R174" i="15"/>
  <c r="R158" i="15"/>
  <c r="R134" i="15"/>
  <c r="R130" i="15"/>
  <c r="R201" i="15"/>
  <c r="R185" i="15"/>
  <c r="R166" i="15"/>
  <c r="R165" i="15"/>
  <c r="R150" i="15"/>
  <c r="R149" i="15"/>
  <c r="R142" i="15"/>
  <c r="R141" i="15"/>
  <c r="R126" i="15"/>
  <c r="R125" i="15"/>
  <c r="R121" i="15"/>
  <c r="R117" i="15"/>
  <c r="R209" i="15"/>
  <c r="R208" i="15"/>
  <c r="R196" i="15"/>
  <c r="R192" i="15"/>
  <c r="R180" i="15"/>
  <c r="R108" i="15"/>
  <c r="R104" i="15"/>
  <c r="R100" i="15"/>
  <c r="R96" i="15"/>
  <c r="R92" i="15"/>
  <c r="R88" i="15"/>
  <c r="R84" i="15"/>
  <c r="R80" i="15"/>
  <c r="X12" i="15"/>
  <c r="Z12" i="15" s="1"/>
  <c r="R175" i="15"/>
  <c r="R168" i="15"/>
  <c r="R167" i="15"/>
  <c r="R160" i="15"/>
  <c r="R159" i="15"/>
  <c r="R151" i="15"/>
  <c r="R144" i="15"/>
  <c r="R143" i="15"/>
  <c r="R135" i="15"/>
  <c r="R131" i="15"/>
  <c r="R127" i="15"/>
  <c r="R76" i="15"/>
  <c r="R210" i="15"/>
  <c r="R203" i="15"/>
  <c r="R202" i="15"/>
  <c r="R187" i="15"/>
  <c r="R186" i="15"/>
  <c r="R122" i="15"/>
  <c r="R118" i="15"/>
  <c r="R213" i="15"/>
  <c r="R212" i="15"/>
  <c r="R197" i="15"/>
  <c r="R193" i="15"/>
  <c r="R182" i="15"/>
  <c r="R181" i="15"/>
  <c r="R170" i="15"/>
  <c r="R169" i="15"/>
  <c r="R161" i="15"/>
  <c r="R145" i="15"/>
  <c r="R109" i="15"/>
  <c r="R105" i="15"/>
  <c r="R101" i="15"/>
  <c r="R97" i="15"/>
  <c r="R93" i="15"/>
  <c r="R89" i="15"/>
  <c r="R85" i="15"/>
  <c r="R81" i="15"/>
  <c r="R77" i="15"/>
  <c r="R214" i="15"/>
  <c r="R205" i="15"/>
  <c r="R204" i="15"/>
  <c r="R188" i="15"/>
  <c r="R177" i="15"/>
  <c r="R176" i="15"/>
  <c r="R153" i="15"/>
  <c r="R152" i="15"/>
  <c r="R137" i="15"/>
  <c r="R136" i="15"/>
  <c r="R132" i="15"/>
  <c r="R128" i="15"/>
  <c r="R216" i="15"/>
  <c r="R206" i="15"/>
  <c r="R198" i="15"/>
  <c r="R194" i="15"/>
  <c r="R178" i="15"/>
  <c r="R162" i="15"/>
  <c r="R155" i="15"/>
  <c r="R154" i="15"/>
  <c r="R147" i="15"/>
  <c r="R146" i="15"/>
  <c r="R139" i="15"/>
  <c r="R138" i="15"/>
  <c r="R115" i="15"/>
  <c r="R110" i="15"/>
  <c r="R106" i="15"/>
  <c r="R102" i="15"/>
  <c r="R98" i="15"/>
  <c r="R94" i="15"/>
  <c r="R90" i="15"/>
  <c r="R86" i="15"/>
  <c r="R82" i="15"/>
  <c r="R78" i="15"/>
  <c r="R171" i="15"/>
  <c r="R119" i="15"/>
  <c r="R103" i="15"/>
  <c r="R99" i="15"/>
  <c r="R95" i="15"/>
  <c r="R91" i="15"/>
  <c r="R87" i="15"/>
  <c r="R83" i="15"/>
  <c r="R79" i="15"/>
  <c r="R215" i="15"/>
  <c r="R183" i="15"/>
  <c r="R107" i="15"/>
  <c r="R172" i="15"/>
  <c r="R123" i="15"/>
  <c r="F197" i="15"/>
  <c r="F193" i="15"/>
  <c r="F181" i="15"/>
  <c r="F169" i="15"/>
  <c r="F168" i="15"/>
  <c r="F161" i="15"/>
  <c r="F160" i="15"/>
  <c r="F145" i="15"/>
  <c r="F144" i="15"/>
  <c r="F109" i="15"/>
  <c r="F105" i="15"/>
  <c r="F101" i="15"/>
  <c r="F97" i="15"/>
  <c r="F93" i="15"/>
  <c r="F89" i="15"/>
  <c r="F85" i="15"/>
  <c r="F81" i="15"/>
  <c r="F77" i="15"/>
  <c r="F76" i="15"/>
  <c r="F213" i="15"/>
  <c r="F204" i="15"/>
  <c r="F203" i="15"/>
  <c r="F188" i="15"/>
  <c r="F187" i="15"/>
  <c r="F176" i="15"/>
  <c r="F152" i="15"/>
  <c r="F136" i="15"/>
  <c r="F132" i="15"/>
  <c r="F128" i="15"/>
  <c r="F214" i="15"/>
  <c r="F212" i="15"/>
  <c r="F183" i="15"/>
  <c r="F182" i="15"/>
  <c r="F171" i="15"/>
  <c r="F170" i="15"/>
  <c r="F123" i="15"/>
  <c r="F119" i="15"/>
  <c r="F215" i="15"/>
  <c r="F206" i="15"/>
  <c r="F205" i="15"/>
  <c r="F198" i="15"/>
  <c r="F194" i="15"/>
  <c r="F178" i="15"/>
  <c r="F177" i="15"/>
  <c r="F162" i="15"/>
  <c r="F154" i="15"/>
  <c r="F153" i="15"/>
  <c r="F146" i="15"/>
  <c r="F138" i="15"/>
  <c r="F137" i="15"/>
  <c r="F110" i="15"/>
  <c r="F106" i="15"/>
  <c r="F102" i="15"/>
  <c r="F98" i="15"/>
  <c r="F94" i="15"/>
  <c r="F90" i="15"/>
  <c r="F86" i="15"/>
  <c r="F82" i="15"/>
  <c r="F78" i="15"/>
  <c r="F216" i="15"/>
  <c r="F189" i="15"/>
  <c r="F173" i="15"/>
  <c r="F172" i="15"/>
  <c r="F133" i="15"/>
  <c r="F129" i="15"/>
  <c r="F184" i="15"/>
  <c r="F156" i="15"/>
  <c r="F155" i="15"/>
  <c r="F148" i="15"/>
  <c r="F147" i="15"/>
  <c r="F140" i="15"/>
  <c r="F139" i="15"/>
  <c r="F124" i="15"/>
  <c r="F120" i="15"/>
  <c r="F116" i="15"/>
  <c r="F115" i="15"/>
  <c r="F207" i="15"/>
  <c r="F199" i="15"/>
  <c r="F195" i="15"/>
  <c r="F191" i="15"/>
  <c r="F190" i="15"/>
  <c r="F179" i="15"/>
  <c r="F163" i="15"/>
  <c r="F114" i="15"/>
  <c r="F112" i="15"/>
  <c r="F107" i="15"/>
  <c r="F103" i="15"/>
  <c r="F99" i="15"/>
  <c r="F95" i="15"/>
  <c r="F91" i="15"/>
  <c r="F87" i="15"/>
  <c r="F83" i="15"/>
  <c r="F79" i="15"/>
  <c r="F220" i="15"/>
  <c r="F174" i="15"/>
  <c r="F158" i="15"/>
  <c r="F157" i="15"/>
  <c r="F134" i="15"/>
  <c r="F130" i="15"/>
  <c r="D112" i="15"/>
  <c r="F201" i="15"/>
  <c r="F200" i="15"/>
  <c r="F185" i="15"/>
  <c r="F165" i="15"/>
  <c r="F164" i="15"/>
  <c r="F149" i="15"/>
  <c r="F141" i="15"/>
  <c r="F125" i="15"/>
  <c r="F121" i="15"/>
  <c r="F117" i="15"/>
  <c r="F208" i="15"/>
  <c r="F196" i="15"/>
  <c r="F192" i="15"/>
  <c r="F180" i="15"/>
  <c r="F108" i="15"/>
  <c r="F104" i="15"/>
  <c r="F100" i="15"/>
  <c r="F96" i="15"/>
  <c r="F92" i="15"/>
  <c r="F88" i="15"/>
  <c r="F84" i="15"/>
  <c r="F80" i="15"/>
  <c r="L12" i="15"/>
  <c r="N12" i="15" s="1"/>
  <c r="F210" i="15"/>
  <c r="F209" i="15"/>
  <c r="F202" i="15"/>
  <c r="F186" i="15"/>
  <c r="F122" i="15"/>
  <c r="F118" i="15"/>
  <c r="F151" i="15"/>
  <c r="F142" i="15"/>
  <c r="F135" i="15"/>
  <c r="F127" i="15"/>
  <c r="F167" i="15"/>
  <c r="F150" i="15"/>
  <c r="F159" i="15"/>
  <c r="F175" i="15"/>
  <c r="F143" i="15"/>
  <c r="F131" i="15"/>
  <c r="F126" i="15"/>
  <c r="F166" i="15"/>
  <c r="H260" i="3"/>
  <c r="D27" i="52"/>
  <c r="L18" i="52"/>
  <c r="P27" i="49"/>
  <c r="X18" i="49"/>
  <c r="X18" i="44"/>
  <c r="P27" i="44"/>
  <c r="L18" i="40"/>
  <c r="D27" i="40"/>
  <c r="H27" i="40"/>
  <c r="N18" i="40"/>
  <c r="T27" i="35"/>
  <c r="Z18" i="35"/>
  <c r="X18" i="35"/>
  <c r="P27" i="35"/>
  <c r="X18" i="25"/>
  <c r="P27" i="25"/>
  <c r="X18" i="20"/>
  <c r="P27" i="20"/>
  <c r="H27" i="20"/>
  <c r="N18" i="20"/>
  <c r="D27" i="16"/>
  <c r="L18" i="16"/>
  <c r="X18" i="7"/>
  <c r="P27" i="7"/>
  <c r="T90" i="87"/>
  <c r="P104" i="21"/>
  <c r="X24" i="21"/>
  <c r="Z24" i="21" s="1"/>
  <c r="P26" i="6"/>
  <c r="X22" i="6"/>
  <c r="X18" i="37"/>
  <c r="P27" i="37"/>
  <c r="H84" i="97"/>
  <c r="N19" i="97"/>
  <c r="X16" i="102"/>
  <c r="P56" i="102"/>
  <c r="R76" i="97"/>
  <c r="R60" i="97"/>
  <c r="R53" i="97"/>
  <c r="R52" i="97"/>
  <c r="R28" i="97"/>
  <c r="R24" i="97"/>
  <c r="R71" i="97"/>
  <c r="R67" i="97"/>
  <c r="R44" i="97"/>
  <c r="R43" i="97"/>
  <c r="R55" i="97"/>
  <c r="R54" i="97"/>
  <c r="R38" i="97"/>
  <c r="R34" i="97"/>
  <c r="R78" i="97"/>
  <c r="R77" i="97"/>
  <c r="R62" i="97"/>
  <c r="R61" i="97"/>
  <c r="R46" i="97"/>
  <c r="R45" i="97"/>
  <c r="R29" i="97"/>
  <c r="R25" i="97"/>
  <c r="R72" i="97"/>
  <c r="R68" i="97"/>
  <c r="R56" i="97"/>
  <c r="R79" i="97"/>
  <c r="R64" i="97"/>
  <c r="R63" i="97"/>
  <c r="R47" i="97"/>
  <c r="R39" i="97"/>
  <c r="R35" i="97"/>
  <c r="R16" i="97"/>
  <c r="R82" i="97"/>
  <c r="R81" i="97"/>
  <c r="R31" i="97"/>
  <c r="R30" i="97"/>
  <c r="R26" i="97"/>
  <c r="R84" i="97"/>
  <c r="R73" i="97"/>
  <c r="R69" i="97"/>
  <c r="R65" i="97"/>
  <c r="R57" i="97"/>
  <c r="R22" i="97"/>
  <c r="R17" i="97"/>
  <c r="R49" i="97"/>
  <c r="R48" i="97"/>
  <c r="R40" i="97"/>
  <c r="R36" i="97"/>
  <c r="R32" i="97"/>
  <c r="R21" i="97"/>
  <c r="R19" i="97"/>
  <c r="R91" i="97"/>
  <c r="R88" i="97"/>
  <c r="R42" i="97"/>
  <c r="R41" i="97"/>
  <c r="R37" i="97"/>
  <c r="R33" i="97"/>
  <c r="P19" i="97"/>
  <c r="R86" i="97"/>
  <c r="R66" i="97"/>
  <c r="R58" i="97"/>
  <c r="R70" i="97"/>
  <c r="R50" i="97"/>
  <c r="R74" i="97"/>
  <c r="R27" i="97"/>
  <c r="R23" i="97"/>
  <c r="R59" i="97"/>
  <c r="R51" i="97"/>
  <c r="R75" i="97"/>
  <c r="X12" i="97"/>
  <c r="F23" i="95"/>
  <c r="H82" i="94"/>
  <c r="N78" i="94"/>
  <c r="H28" i="85"/>
  <c r="L19" i="87"/>
  <c r="D86" i="87"/>
  <c r="H78" i="79"/>
  <c r="J104" i="76"/>
  <c r="H107" i="76"/>
  <c r="T70" i="72"/>
  <c r="L26" i="75"/>
  <c r="D80" i="75"/>
  <c r="Z16" i="61"/>
  <c r="T60" i="61"/>
  <c r="T96" i="68"/>
  <c r="V92" i="68"/>
  <c r="L17" i="56"/>
  <c r="D78" i="56"/>
  <c r="J127" i="39"/>
  <c r="D127" i="36"/>
  <c r="L27" i="36"/>
  <c r="N27" i="36" s="1"/>
  <c r="H169" i="30"/>
  <c r="R221" i="12"/>
  <c r="R220" i="12"/>
  <c r="R219" i="12"/>
  <c r="R213" i="12"/>
  <c r="R205" i="12"/>
  <c r="R201" i="12"/>
  <c r="R185" i="12"/>
  <c r="R170" i="12"/>
  <c r="R169" i="12"/>
  <c r="R154" i="12"/>
  <c r="R153" i="12"/>
  <c r="R146" i="12"/>
  <c r="R145" i="12"/>
  <c r="R130" i="12"/>
  <c r="R129" i="12"/>
  <c r="R125" i="12"/>
  <c r="R121" i="12"/>
  <c r="R197" i="12"/>
  <c r="R196" i="12"/>
  <c r="R180" i="12"/>
  <c r="R112" i="12"/>
  <c r="R108" i="12"/>
  <c r="R104" i="12"/>
  <c r="R100" i="12"/>
  <c r="R96" i="12"/>
  <c r="R92" i="12"/>
  <c r="R88" i="12"/>
  <c r="R84" i="12"/>
  <c r="R80" i="12"/>
  <c r="R227" i="12"/>
  <c r="R191" i="12"/>
  <c r="R172" i="12"/>
  <c r="R171" i="12"/>
  <c r="R164" i="12"/>
  <c r="R163" i="12"/>
  <c r="R155" i="12"/>
  <c r="R148" i="12"/>
  <c r="R147" i="12"/>
  <c r="R139" i="12"/>
  <c r="R135" i="12"/>
  <c r="R131" i="12"/>
  <c r="R223" i="12"/>
  <c r="R214" i="12"/>
  <c r="R207" i="12"/>
  <c r="R206" i="12"/>
  <c r="R202" i="12"/>
  <c r="R198" i="12"/>
  <c r="R186" i="12"/>
  <c r="R126" i="12"/>
  <c r="R122" i="12"/>
  <c r="R181" i="12"/>
  <c r="R174" i="12"/>
  <c r="R173" i="12"/>
  <c r="R165" i="12"/>
  <c r="R149" i="12"/>
  <c r="R113" i="12"/>
  <c r="R109" i="12"/>
  <c r="R105" i="12"/>
  <c r="R101" i="12"/>
  <c r="R97" i="12"/>
  <c r="R93" i="12"/>
  <c r="R89" i="12"/>
  <c r="R85" i="12"/>
  <c r="R81" i="12"/>
  <c r="R208" i="12"/>
  <c r="R192" i="12"/>
  <c r="R157" i="12"/>
  <c r="R156" i="12"/>
  <c r="R141" i="12"/>
  <c r="R140" i="12"/>
  <c r="R136" i="12"/>
  <c r="R132" i="12"/>
  <c r="R215" i="12"/>
  <c r="R203" i="12"/>
  <c r="R199" i="12"/>
  <c r="R188" i="12"/>
  <c r="R187" i="12"/>
  <c r="R176" i="12"/>
  <c r="R175" i="12"/>
  <c r="R127" i="12"/>
  <c r="R123" i="12"/>
  <c r="R216" i="12"/>
  <c r="R183" i="12"/>
  <c r="R182" i="12"/>
  <c r="R166" i="12"/>
  <c r="R159" i="12"/>
  <c r="R158" i="12"/>
  <c r="R151" i="12"/>
  <c r="R150" i="12"/>
  <c r="R143" i="12"/>
  <c r="R142" i="12"/>
  <c r="R119" i="12"/>
  <c r="R114" i="12"/>
  <c r="R110" i="12"/>
  <c r="R106" i="12"/>
  <c r="R102" i="12"/>
  <c r="R98" i="12"/>
  <c r="R94" i="12"/>
  <c r="R90" i="12"/>
  <c r="R86" i="12"/>
  <c r="R82" i="12"/>
  <c r="R210" i="12"/>
  <c r="R209" i="12"/>
  <c r="R194" i="12"/>
  <c r="R193" i="12"/>
  <c r="R189" i="12"/>
  <c r="R178" i="12"/>
  <c r="R177" i="12"/>
  <c r="R137" i="12"/>
  <c r="R133" i="12"/>
  <c r="R118" i="12"/>
  <c r="R78" i="12"/>
  <c r="R204" i="12"/>
  <c r="R200" i="12"/>
  <c r="R184" i="12"/>
  <c r="R161" i="12"/>
  <c r="R160" i="12"/>
  <c r="R152" i="12"/>
  <c r="R144" i="12"/>
  <c r="R128" i="12"/>
  <c r="R124" i="12"/>
  <c r="R120" i="12"/>
  <c r="P116" i="12"/>
  <c r="X12" i="12"/>
  <c r="Z12" i="12" s="1"/>
  <c r="R222" i="12"/>
  <c r="R217" i="12"/>
  <c r="R190" i="12"/>
  <c r="R162" i="12"/>
  <c r="R138" i="12"/>
  <c r="R134" i="12"/>
  <c r="R111" i="12"/>
  <c r="R87" i="12"/>
  <c r="R168" i="12"/>
  <c r="R91" i="12"/>
  <c r="R211" i="12"/>
  <c r="R95" i="12"/>
  <c r="R99" i="12"/>
  <c r="R103" i="12"/>
  <c r="R212" i="12"/>
  <c r="R167" i="12"/>
  <c r="R79" i="12"/>
  <c r="R195" i="12"/>
  <c r="R179" i="12"/>
  <c r="R107" i="12"/>
  <c r="R83" i="12"/>
  <c r="P260" i="3"/>
  <c r="X143" i="3"/>
  <c r="H27" i="110"/>
  <c r="N18" i="110"/>
  <c r="L18" i="110"/>
  <c r="D27" i="110"/>
  <c r="L18" i="112"/>
  <c r="D27" i="112"/>
  <c r="T27" i="52"/>
  <c r="Z18" i="52"/>
  <c r="H27" i="46"/>
  <c r="N18" i="46"/>
  <c r="H27" i="44"/>
  <c r="N18" i="44"/>
  <c r="X18" i="38"/>
  <c r="P27" i="38"/>
  <c r="T27" i="40"/>
  <c r="Z18" i="40"/>
  <c r="X18" i="32"/>
  <c r="P27" i="32"/>
  <c r="X18" i="29"/>
  <c r="P27" i="29"/>
  <c r="T27" i="28"/>
  <c r="Z18" i="28"/>
  <c r="H27" i="34"/>
  <c r="N18" i="34"/>
  <c r="X18" i="23"/>
  <c r="P27" i="23"/>
  <c r="T27" i="16"/>
  <c r="Z18" i="16"/>
  <c r="T27" i="10"/>
  <c r="Z18" i="10"/>
  <c r="H27" i="8"/>
  <c r="N18" i="8"/>
  <c r="H100" i="95"/>
  <c r="T49" i="82"/>
  <c r="X16" i="59"/>
  <c r="P69" i="59"/>
  <c r="L23" i="105"/>
  <c r="N23" i="105" s="1"/>
  <c r="D95" i="105"/>
  <c r="R23" i="85"/>
  <c r="R18" i="85"/>
  <c r="R22" i="85"/>
  <c r="R20" i="85"/>
  <c r="R24" i="85"/>
  <c r="P20" i="85"/>
  <c r="R26" i="85"/>
  <c r="X12" i="85"/>
  <c r="Z12" i="85" s="1"/>
  <c r="R17" i="85"/>
  <c r="R30" i="85"/>
  <c r="R16" i="85"/>
  <c r="R70" i="83"/>
  <c r="R69" i="83"/>
  <c r="R46" i="83"/>
  <c r="R45" i="83"/>
  <c r="R17" i="83"/>
  <c r="R84" i="83"/>
  <c r="R76" i="83"/>
  <c r="R64" i="83"/>
  <c r="R57" i="83"/>
  <c r="R56" i="83"/>
  <c r="R40" i="83"/>
  <c r="R36" i="83"/>
  <c r="R88" i="83"/>
  <c r="R86" i="83"/>
  <c r="R72" i="83"/>
  <c r="R71" i="83"/>
  <c r="R48" i="83"/>
  <c r="R47" i="83"/>
  <c r="R31" i="83"/>
  <c r="R27" i="83"/>
  <c r="R59" i="83"/>
  <c r="R58" i="83"/>
  <c r="R18" i="83"/>
  <c r="R78" i="83"/>
  <c r="R77" i="83"/>
  <c r="R73" i="83"/>
  <c r="R66" i="83"/>
  <c r="R65" i="83"/>
  <c r="R50" i="83"/>
  <c r="R49" i="83"/>
  <c r="R41" i="83"/>
  <c r="R37" i="83"/>
  <c r="R90" i="83"/>
  <c r="R61" i="83"/>
  <c r="R60" i="83"/>
  <c r="R33" i="83"/>
  <c r="R32" i="83"/>
  <c r="R28" i="83"/>
  <c r="R95" i="83"/>
  <c r="R92" i="83"/>
  <c r="R79" i="83"/>
  <c r="R67" i="83"/>
  <c r="R51" i="83"/>
  <c r="R24" i="83"/>
  <c r="R19" i="83"/>
  <c r="R74" i="83"/>
  <c r="R62" i="83"/>
  <c r="R42" i="83"/>
  <c r="R38" i="83"/>
  <c r="R34" i="83"/>
  <c r="R23" i="83"/>
  <c r="R21" i="83"/>
  <c r="R29" i="83"/>
  <c r="R25" i="83"/>
  <c r="P21" i="83"/>
  <c r="R81" i="83"/>
  <c r="R80" i="83"/>
  <c r="R68" i="83"/>
  <c r="R53" i="83"/>
  <c r="R52" i="83"/>
  <c r="X12" i="83"/>
  <c r="Z12" i="83" s="1"/>
  <c r="R83" i="83"/>
  <c r="R82" i="83"/>
  <c r="R55" i="83"/>
  <c r="R54" i="83"/>
  <c r="R30" i="83"/>
  <c r="R26" i="83"/>
  <c r="R75" i="83"/>
  <c r="R44" i="83"/>
  <c r="R35" i="83"/>
  <c r="R39" i="83"/>
  <c r="R16" i="83"/>
  <c r="R63" i="83"/>
  <c r="R43" i="83"/>
  <c r="P71" i="109"/>
  <c r="X17" i="109"/>
  <c r="P39" i="101"/>
  <c r="X16" i="101"/>
  <c r="D56" i="99"/>
  <c r="L16" i="99"/>
  <c r="T96" i="95"/>
  <c r="V23" i="95"/>
  <c r="Z16" i="88"/>
  <c r="T32" i="88"/>
  <c r="V23" i="82"/>
  <c r="H86" i="87"/>
  <c r="N19" i="87"/>
  <c r="Z19" i="80"/>
  <c r="T70" i="80"/>
  <c r="R112" i="84"/>
  <c r="R111" i="84"/>
  <c r="R104" i="84"/>
  <c r="R103" i="84"/>
  <c r="R99" i="84"/>
  <c r="R76" i="84"/>
  <c r="R75" i="84"/>
  <c r="R64" i="84"/>
  <c r="R63" i="84"/>
  <c r="R59" i="84"/>
  <c r="R55" i="84"/>
  <c r="R87" i="84"/>
  <c r="R86" i="84"/>
  <c r="R50" i="84"/>
  <c r="R113" i="84"/>
  <c r="R115" i="84"/>
  <c r="R100" i="84"/>
  <c r="R119" i="84"/>
  <c r="R101" i="84"/>
  <c r="R90" i="84"/>
  <c r="R89" i="84"/>
  <c r="R70" i="84"/>
  <c r="R69" i="84"/>
  <c r="R61" i="84"/>
  <c r="R57" i="84"/>
  <c r="R110" i="84"/>
  <c r="R102" i="84"/>
  <c r="R98" i="84"/>
  <c r="R83" i="84"/>
  <c r="R82" i="84"/>
  <c r="R62" i="84"/>
  <c r="R58" i="84"/>
  <c r="R54" i="84"/>
  <c r="R65" i="84"/>
  <c r="R49" i="84"/>
  <c r="R35" i="84"/>
  <c r="R94" i="84"/>
  <c r="R73" i="84"/>
  <c r="R52" i="84"/>
  <c r="R43" i="84"/>
  <c r="R42" i="84"/>
  <c r="P40" i="84"/>
  <c r="R109" i="84"/>
  <c r="R80" i="84"/>
  <c r="R66" i="84"/>
  <c r="R60" i="84"/>
  <c r="R91" i="84"/>
  <c r="R47" i="84"/>
  <c r="R44" i="84"/>
  <c r="R36" i="84"/>
  <c r="R106" i="84"/>
  <c r="R95" i="84"/>
  <c r="R88" i="84"/>
  <c r="R77" i="84"/>
  <c r="R74" i="84"/>
  <c r="R53" i="84"/>
  <c r="R107" i="84"/>
  <c r="R84" i="84"/>
  <c r="R81" i="84"/>
  <c r="R67" i="84"/>
  <c r="X12" i="84"/>
  <c r="Z12" i="84" s="1"/>
  <c r="R85" i="84"/>
  <c r="R37" i="84"/>
  <c r="R92" i="84"/>
  <c r="R68" i="84"/>
  <c r="R56" i="84"/>
  <c r="R48" i="84"/>
  <c r="R45" i="84"/>
  <c r="R33" i="84"/>
  <c r="R96" i="84"/>
  <c r="R71" i="84"/>
  <c r="R72" i="84"/>
  <c r="R51" i="84"/>
  <c r="R34" i="84"/>
  <c r="R105" i="84"/>
  <c r="R97" i="84"/>
  <c r="R93" i="84"/>
  <c r="R79" i="84"/>
  <c r="R46" i="84"/>
  <c r="R108" i="84"/>
  <c r="R38" i="84"/>
  <c r="R78" i="84"/>
  <c r="F26" i="75"/>
  <c r="V26" i="75"/>
  <c r="X16" i="61"/>
  <c r="P60" i="61"/>
  <c r="T73" i="57"/>
  <c r="Z17" i="57"/>
  <c r="Z17" i="56"/>
  <c r="T78" i="56"/>
  <c r="N16" i="59"/>
  <c r="H69" i="59"/>
  <c r="J17" i="48"/>
  <c r="H71" i="48"/>
  <c r="N17" i="48"/>
  <c r="T101" i="45"/>
  <c r="T119" i="42"/>
  <c r="V25" i="42"/>
  <c r="T127" i="36"/>
  <c r="V27" i="36"/>
  <c r="J116" i="12"/>
  <c r="J143" i="3"/>
  <c r="H102" i="9"/>
  <c r="N17" i="9"/>
  <c r="L18" i="111"/>
  <c r="D27" i="111"/>
  <c r="H27" i="112"/>
  <c r="N18" i="112"/>
  <c r="H27" i="49"/>
  <c r="N18" i="49"/>
  <c r="X18" i="46"/>
  <c r="P27" i="46"/>
  <c r="N18" i="35"/>
  <c r="H27" i="35"/>
  <c r="T27" i="23"/>
  <c r="Z18" i="23"/>
  <c r="T27" i="17"/>
  <c r="Z18" i="17"/>
  <c r="P27" i="11"/>
  <c r="X18" i="11"/>
  <c r="P30" i="100"/>
  <c r="X16" i="100"/>
  <c r="N26" i="75"/>
  <c r="H80" i="75"/>
  <c r="L19" i="107"/>
  <c r="N19" i="107" s="1"/>
  <c r="D86" i="107"/>
  <c r="H39" i="101"/>
  <c r="N16" i="101"/>
  <c r="H92" i="103"/>
  <c r="T82" i="92"/>
  <c r="F119" i="84"/>
  <c r="F91" i="84"/>
  <c r="F90" i="84"/>
  <c r="F71" i="84"/>
  <c r="F70" i="84"/>
  <c r="F110" i="84"/>
  <c r="F109" i="84"/>
  <c r="F102" i="84"/>
  <c r="F98" i="84"/>
  <c r="F97" i="84"/>
  <c r="F82" i="84"/>
  <c r="F81" i="84"/>
  <c r="F62" i="84"/>
  <c r="F58" i="84"/>
  <c r="F54" i="84"/>
  <c r="F53" i="84"/>
  <c r="F113" i="84"/>
  <c r="F112" i="84"/>
  <c r="F105" i="84"/>
  <c r="F104" i="84"/>
  <c r="F93" i="84"/>
  <c r="F77" i="84"/>
  <c r="F76" i="84"/>
  <c r="F65" i="84"/>
  <c r="F64" i="84"/>
  <c r="F115" i="84"/>
  <c r="F106" i="84"/>
  <c r="F78" i="84"/>
  <c r="F38" i="84"/>
  <c r="F99" i="84"/>
  <c r="F96" i="84"/>
  <c r="F68" i="84"/>
  <c r="F108" i="84"/>
  <c r="F101" i="84"/>
  <c r="F86" i="84"/>
  <c r="F59" i="84"/>
  <c r="F51" i="84"/>
  <c r="F34" i="84"/>
  <c r="F33" i="84"/>
  <c r="F103" i="84"/>
  <c r="F72" i="84"/>
  <c r="F57" i="84"/>
  <c r="F111" i="84"/>
  <c r="F69" i="84"/>
  <c r="F49" i="84"/>
  <c r="F46" i="84"/>
  <c r="F79" i="84"/>
  <c r="F73" i="84"/>
  <c r="F55" i="84"/>
  <c r="F35" i="84"/>
  <c r="F87" i="84"/>
  <c r="F83" i="84"/>
  <c r="F60" i="84"/>
  <c r="F52" i="84"/>
  <c r="F94" i="84"/>
  <c r="F80" i="84"/>
  <c r="F43" i="84"/>
  <c r="F42" i="84"/>
  <c r="D40" i="84"/>
  <c r="F100" i="84"/>
  <c r="F88" i="84"/>
  <c r="F66" i="84"/>
  <c r="F47" i="84"/>
  <c r="F44" i="84"/>
  <c r="F36" i="84"/>
  <c r="F95" i="84"/>
  <c r="F74" i="84"/>
  <c r="F50" i="84"/>
  <c r="F84" i="84"/>
  <c r="F67" i="84"/>
  <c r="F63" i="84"/>
  <c r="L12" i="84"/>
  <c r="N12" i="84" s="1"/>
  <c r="F89" i="84"/>
  <c r="F85" i="84"/>
  <c r="F75" i="84"/>
  <c r="F48" i="84"/>
  <c r="F45" i="84"/>
  <c r="F37" i="84"/>
  <c r="F61" i="84"/>
  <c r="F56" i="84"/>
  <c r="F107" i="84"/>
  <c r="F92" i="84"/>
  <c r="R143" i="74"/>
  <c r="R142" i="74"/>
  <c r="R123" i="74"/>
  <c r="R104" i="74"/>
  <c r="R103" i="74"/>
  <c r="R87" i="74"/>
  <c r="R83" i="74"/>
  <c r="R126" i="74"/>
  <c r="R119" i="74"/>
  <c r="R118" i="74"/>
  <c r="R98" i="74"/>
  <c r="R94" i="74"/>
  <c r="R90" i="74"/>
  <c r="R131" i="74"/>
  <c r="R124" i="74"/>
  <c r="R114" i="74"/>
  <c r="R95" i="74"/>
  <c r="R92" i="74"/>
  <c r="R89" i="74"/>
  <c r="R79" i="74"/>
  <c r="R69" i="74"/>
  <c r="R62" i="74"/>
  <c r="R55" i="74"/>
  <c r="R121" i="74"/>
  <c r="R120" i="74"/>
  <c r="R110" i="74"/>
  <c r="R52" i="74"/>
  <c r="R129" i="74"/>
  <c r="R125" i="74"/>
  <c r="R115" i="74"/>
  <c r="R80" i="74"/>
  <c r="R73" i="74"/>
  <c r="R66" i="74"/>
  <c r="R59" i="74"/>
  <c r="R144" i="74"/>
  <c r="R139" i="74"/>
  <c r="R132" i="74"/>
  <c r="R105" i="74"/>
  <c r="R99" i="74"/>
  <c r="R96" i="74"/>
  <c r="R86" i="74"/>
  <c r="R56" i="74"/>
  <c r="R149" i="74"/>
  <c r="R136" i="74"/>
  <c r="R135" i="74"/>
  <c r="R116" i="74"/>
  <c r="R111" i="74"/>
  <c r="R106" i="74"/>
  <c r="R100" i="74"/>
  <c r="R93" i="74"/>
  <c r="R70" i="74"/>
  <c r="R63" i="74"/>
  <c r="R53" i="74"/>
  <c r="R122" i="74"/>
  <c r="R60" i="74"/>
  <c r="X12" i="74"/>
  <c r="Z12" i="74" s="1"/>
  <c r="R145" i="74"/>
  <c r="R133" i="74"/>
  <c r="R117" i="74"/>
  <c r="R84" i="74"/>
  <c r="R81" i="74"/>
  <c r="R74" i="74"/>
  <c r="R67" i="74"/>
  <c r="R57" i="74"/>
  <c r="R140" i="74"/>
  <c r="R130" i="74"/>
  <c r="R101" i="74"/>
  <c r="R97" i="74"/>
  <c r="R64" i="74"/>
  <c r="R137" i="74"/>
  <c r="R112" i="74"/>
  <c r="R108" i="74"/>
  <c r="R107" i="74"/>
  <c r="R102" i="74"/>
  <c r="R91" i="74"/>
  <c r="R71" i="74"/>
  <c r="R61" i="74"/>
  <c r="R54" i="74"/>
  <c r="R138" i="74"/>
  <c r="R134" i="74"/>
  <c r="R128" i="74"/>
  <c r="R109" i="74"/>
  <c r="R82" i="74"/>
  <c r="R78" i="74"/>
  <c r="R72" i="74"/>
  <c r="R88" i="74"/>
  <c r="R68" i="74"/>
  <c r="R113" i="74"/>
  <c r="P76" i="74"/>
  <c r="R85" i="74"/>
  <c r="R65" i="74"/>
  <c r="R127" i="74"/>
  <c r="R58" i="74"/>
  <c r="Z16" i="55"/>
  <c r="T33" i="55"/>
  <c r="X33" i="55" s="1"/>
  <c r="D71" i="48"/>
  <c r="L17" i="48"/>
  <c r="F17" i="48"/>
  <c r="T100" i="51"/>
  <c r="Z45" i="51"/>
  <c r="F23" i="105"/>
  <c r="T119" i="27"/>
  <c r="F221" i="12"/>
  <c r="F219" i="12"/>
  <c r="F209" i="12"/>
  <c r="F193" i="12"/>
  <c r="F189" i="12"/>
  <c r="F188" i="12"/>
  <c r="F177" i="12"/>
  <c r="F176" i="12"/>
  <c r="F137" i="12"/>
  <c r="F133" i="12"/>
  <c r="F216" i="12"/>
  <c r="F204" i="12"/>
  <c r="F200" i="12"/>
  <c r="F184" i="12"/>
  <c r="F183" i="12"/>
  <c r="F160" i="12"/>
  <c r="F159" i="12"/>
  <c r="F152" i="12"/>
  <c r="F151" i="12"/>
  <c r="F144" i="12"/>
  <c r="F143" i="12"/>
  <c r="F128" i="12"/>
  <c r="F124" i="12"/>
  <c r="F120" i="12"/>
  <c r="F119" i="12"/>
  <c r="L12" i="12"/>
  <c r="N12" i="12" s="1"/>
  <c r="F217" i="12"/>
  <c r="F211" i="12"/>
  <c r="F210" i="12"/>
  <c r="F195" i="12"/>
  <c r="F194" i="12"/>
  <c r="F179" i="12"/>
  <c r="F178" i="12"/>
  <c r="F167" i="12"/>
  <c r="F118" i="12"/>
  <c r="F111" i="12"/>
  <c r="F107" i="12"/>
  <c r="F103" i="12"/>
  <c r="F99" i="12"/>
  <c r="F95" i="12"/>
  <c r="F91" i="12"/>
  <c r="F87" i="12"/>
  <c r="F83" i="12"/>
  <c r="F79" i="12"/>
  <c r="F78" i="12"/>
  <c r="F222" i="12"/>
  <c r="F190" i="12"/>
  <c r="F162" i="12"/>
  <c r="F161" i="12"/>
  <c r="F138" i="12"/>
  <c r="F134" i="12"/>
  <c r="D116" i="12"/>
  <c r="F213" i="12"/>
  <c r="F212" i="12"/>
  <c r="F205" i="12"/>
  <c r="F201" i="12"/>
  <c r="F185" i="12"/>
  <c r="F169" i="12"/>
  <c r="F168" i="12"/>
  <c r="F153" i="12"/>
  <c r="F145" i="12"/>
  <c r="F129" i="12"/>
  <c r="F125" i="12"/>
  <c r="F121" i="12"/>
  <c r="F227" i="12"/>
  <c r="F196" i="12"/>
  <c r="F180" i="12"/>
  <c r="F112" i="12"/>
  <c r="F108" i="12"/>
  <c r="F104" i="12"/>
  <c r="F100" i="12"/>
  <c r="F96" i="12"/>
  <c r="F92" i="12"/>
  <c r="F88" i="12"/>
  <c r="F84" i="12"/>
  <c r="F80" i="12"/>
  <c r="F191" i="12"/>
  <c r="F171" i="12"/>
  <c r="F170" i="12"/>
  <c r="F163" i="12"/>
  <c r="F155" i="12"/>
  <c r="F154" i="12"/>
  <c r="F147" i="12"/>
  <c r="F146" i="12"/>
  <c r="F139" i="12"/>
  <c r="F135" i="12"/>
  <c r="F131" i="12"/>
  <c r="F130" i="12"/>
  <c r="F223" i="12"/>
  <c r="F214" i="12"/>
  <c r="F206" i="12"/>
  <c r="F202" i="12"/>
  <c r="F198" i="12"/>
  <c r="F197" i="12"/>
  <c r="F186" i="12"/>
  <c r="F126" i="12"/>
  <c r="F122" i="12"/>
  <c r="F220" i="12"/>
  <c r="F181" i="12"/>
  <c r="F173" i="12"/>
  <c r="F172" i="12"/>
  <c r="F165" i="12"/>
  <c r="F164" i="12"/>
  <c r="F149" i="12"/>
  <c r="F148" i="12"/>
  <c r="F113" i="12"/>
  <c r="F109" i="12"/>
  <c r="F105" i="12"/>
  <c r="F101" i="12"/>
  <c r="F97" i="12"/>
  <c r="F93" i="12"/>
  <c r="F89" i="12"/>
  <c r="F85" i="12"/>
  <c r="F81" i="12"/>
  <c r="F208" i="12"/>
  <c r="F207" i="12"/>
  <c r="F192" i="12"/>
  <c r="F156" i="12"/>
  <c r="F140" i="12"/>
  <c r="F136" i="12"/>
  <c r="F132" i="12"/>
  <c r="F182" i="12"/>
  <c r="F166" i="12"/>
  <c r="F158" i="12"/>
  <c r="F157" i="12"/>
  <c r="F150" i="12"/>
  <c r="F142" i="12"/>
  <c r="F141" i="12"/>
  <c r="F114" i="12"/>
  <c r="F110" i="12"/>
  <c r="F106" i="12"/>
  <c r="F102" i="12"/>
  <c r="F98" i="12"/>
  <c r="F94" i="12"/>
  <c r="F90" i="12"/>
  <c r="F86" i="12"/>
  <c r="F82" i="12"/>
  <c r="F175" i="12"/>
  <c r="F199" i="12"/>
  <c r="F123" i="12"/>
  <c r="F127" i="12"/>
  <c r="F174" i="12"/>
  <c r="F203" i="12"/>
  <c r="F187" i="12"/>
  <c r="F215" i="12"/>
  <c r="D260" i="3"/>
  <c r="L143" i="3"/>
  <c r="N143" i="3" s="1"/>
  <c r="H27" i="111"/>
  <c r="N18" i="111"/>
  <c r="H27" i="43"/>
  <c r="N18" i="43"/>
  <c r="H27" i="38"/>
  <c r="N18" i="38"/>
  <c r="H27" i="31"/>
  <c r="N18" i="31"/>
  <c r="T27" i="38"/>
  <c r="Z18" i="38"/>
  <c r="L18" i="37"/>
  <c r="D27" i="37"/>
  <c r="L18" i="34"/>
  <c r="D27" i="34"/>
  <c r="X18" i="22"/>
  <c r="P27" i="22"/>
  <c r="L18" i="20"/>
  <c r="D27" i="20"/>
  <c r="L18" i="11"/>
  <c r="D27" i="11"/>
  <c r="Z18" i="13"/>
  <c r="T27" i="13"/>
  <c r="L18" i="7"/>
  <c r="D27" i="7"/>
  <c r="H71" i="109"/>
  <c r="Z16" i="102"/>
  <c r="T56" i="102"/>
  <c r="H56" i="99"/>
  <c r="N16" i="99"/>
  <c r="D30" i="100"/>
  <c r="L16" i="100"/>
  <c r="D79" i="93"/>
  <c r="L19" i="93"/>
  <c r="T100" i="76"/>
  <c r="J40" i="84"/>
  <c r="V21" i="83"/>
  <c r="R88" i="68"/>
  <c r="R56" i="68"/>
  <c r="R52" i="68"/>
  <c r="R48" i="68"/>
  <c r="R37" i="68"/>
  <c r="R35" i="68"/>
  <c r="R25" i="68"/>
  <c r="R90" i="68"/>
  <c r="R76" i="68"/>
  <c r="R75" i="68"/>
  <c r="R43" i="68"/>
  <c r="R39" i="68"/>
  <c r="P35" i="68"/>
  <c r="R77" i="68"/>
  <c r="R58" i="68"/>
  <c r="R57" i="68"/>
  <c r="R53" i="68"/>
  <c r="R49" i="68"/>
  <c r="R94" i="68"/>
  <c r="R69" i="68"/>
  <c r="R68" i="68"/>
  <c r="R44" i="68"/>
  <c r="R40" i="68"/>
  <c r="R84" i="68"/>
  <c r="R83" i="68"/>
  <c r="R60" i="68"/>
  <c r="R59" i="68"/>
  <c r="R31" i="68"/>
  <c r="R27" i="68"/>
  <c r="R79" i="68"/>
  <c r="R78" i="68"/>
  <c r="R71" i="68"/>
  <c r="R70" i="68"/>
  <c r="R54" i="68"/>
  <c r="R50" i="68"/>
  <c r="R85" i="68"/>
  <c r="R62" i="68"/>
  <c r="R61" i="68"/>
  <c r="R45" i="68"/>
  <c r="R41" i="68"/>
  <c r="R80" i="68"/>
  <c r="R73" i="68"/>
  <c r="R72" i="68"/>
  <c r="R32" i="68"/>
  <c r="R28" i="68"/>
  <c r="R64" i="68"/>
  <c r="R63" i="68"/>
  <c r="R55" i="68"/>
  <c r="R51" i="68"/>
  <c r="R87" i="68"/>
  <c r="R82" i="68"/>
  <c r="R74" i="68"/>
  <c r="R65" i="68"/>
  <c r="R29" i="68"/>
  <c r="R38" i="68"/>
  <c r="R81" i="68"/>
  <c r="R66" i="68"/>
  <c r="R46" i="68"/>
  <c r="R42" i="68"/>
  <c r="R30" i="68"/>
  <c r="X12" i="68"/>
  <c r="Z12" i="68" s="1"/>
  <c r="R47" i="68"/>
  <c r="R26" i="68"/>
  <c r="R33" i="68"/>
  <c r="R67" i="68"/>
  <c r="R86" i="68"/>
  <c r="R103" i="70"/>
  <c r="R102" i="70"/>
  <c r="R62" i="70"/>
  <c r="R58" i="70"/>
  <c r="R97" i="70"/>
  <c r="R78" i="70"/>
  <c r="R77" i="70"/>
  <c r="R54" i="70"/>
  <c r="R49" i="70"/>
  <c r="R45" i="70"/>
  <c r="R41" i="70"/>
  <c r="R37" i="70"/>
  <c r="R104" i="70"/>
  <c r="R89" i="70"/>
  <c r="R88" i="70"/>
  <c r="R72" i="70"/>
  <c r="R68" i="70"/>
  <c r="R107" i="70"/>
  <c r="R106" i="70"/>
  <c r="R80" i="70"/>
  <c r="R79" i="70"/>
  <c r="R63" i="70"/>
  <c r="R59" i="70"/>
  <c r="R55" i="70"/>
  <c r="P51" i="70"/>
  <c r="R51" i="70" s="1"/>
  <c r="R108" i="70"/>
  <c r="R98" i="70"/>
  <c r="R91" i="70"/>
  <c r="R90" i="70"/>
  <c r="R109" i="70"/>
  <c r="R82" i="70"/>
  <c r="R81" i="70"/>
  <c r="R73" i="70"/>
  <c r="R92" i="70"/>
  <c r="R65" i="70"/>
  <c r="R64" i="70"/>
  <c r="R60" i="70"/>
  <c r="R56" i="70"/>
  <c r="R100" i="70"/>
  <c r="R99" i="70"/>
  <c r="R84" i="70"/>
  <c r="R83" i="70"/>
  <c r="R74" i="70"/>
  <c r="R70" i="70"/>
  <c r="R66" i="70"/>
  <c r="R96" i="70"/>
  <c r="R95" i="70"/>
  <c r="R87" i="70"/>
  <c r="R69" i="70"/>
  <c r="R67" i="70"/>
  <c r="R34" i="70"/>
  <c r="R93" i="70"/>
  <c r="R85" i="70"/>
  <c r="R76" i="70"/>
  <c r="R42" i="70"/>
  <c r="R61" i="70"/>
  <c r="R48" i="70"/>
  <c r="R40" i="70"/>
  <c r="R101" i="70"/>
  <c r="R53" i="70"/>
  <c r="R43" i="70"/>
  <c r="R35" i="70"/>
  <c r="R86" i="70"/>
  <c r="R94" i="70"/>
  <c r="R57" i="70"/>
  <c r="R46" i="70"/>
  <c r="R38" i="70"/>
  <c r="X12" i="70"/>
  <c r="Z12" i="70" s="1"/>
  <c r="R75" i="70"/>
  <c r="R113" i="70"/>
  <c r="R47" i="70"/>
  <c r="R39" i="70"/>
  <c r="R71" i="70"/>
  <c r="R44" i="70"/>
  <c r="R36" i="70"/>
  <c r="R56" i="69"/>
  <c r="R49" i="69"/>
  <c r="R48" i="69"/>
  <c r="R50" i="69"/>
  <c r="R26" i="69"/>
  <c r="R22" i="69"/>
  <c r="R53" i="69"/>
  <c r="R37" i="69"/>
  <c r="R33" i="69"/>
  <c r="R65" i="69"/>
  <c r="R46" i="69"/>
  <c r="R40" i="69"/>
  <c r="R15" i="69"/>
  <c r="R55" i="69"/>
  <c r="R41" i="69"/>
  <c r="R59" i="69"/>
  <c r="R51" i="69"/>
  <c r="R47" i="69"/>
  <c r="R67" i="69"/>
  <c r="R52" i="69"/>
  <c r="R16" i="69"/>
  <c r="R61" i="69"/>
  <c r="R43" i="69"/>
  <c r="R42" i="69"/>
  <c r="X12" i="69"/>
  <c r="Z12" i="69" s="1"/>
  <c r="R38" i="69"/>
  <c r="R35" i="69"/>
  <c r="R28" i="69"/>
  <c r="R21" i="69"/>
  <c r="R18" i="69"/>
  <c r="R70" i="69"/>
  <c r="R32" i="69"/>
  <c r="R20" i="69"/>
  <c r="P18" i="69"/>
  <c r="R63" i="69"/>
  <c r="R44" i="69"/>
  <c r="R25" i="69"/>
  <c r="R39" i="69"/>
  <c r="R57" i="69"/>
  <c r="R45" i="69"/>
  <c r="R36" i="69"/>
  <c r="R24" i="69"/>
  <c r="R29" i="69"/>
  <c r="R27" i="69"/>
  <c r="R30" i="69"/>
  <c r="R58" i="69"/>
  <c r="R34" i="69"/>
  <c r="R23" i="69"/>
  <c r="R31" i="69"/>
  <c r="R54" i="69"/>
  <c r="J35" i="68"/>
  <c r="X16" i="63"/>
  <c r="P99" i="63"/>
  <c r="L16" i="55"/>
  <c r="D33" i="55"/>
  <c r="P73" i="57"/>
  <c r="P37" i="55"/>
  <c r="R45" i="51"/>
  <c r="F73" i="33"/>
  <c r="F72" i="33"/>
  <c r="F49" i="33"/>
  <c r="F45" i="33"/>
  <c r="F41" i="33"/>
  <c r="F68" i="33"/>
  <c r="F60" i="33"/>
  <c r="F36" i="33"/>
  <c r="F32" i="33"/>
  <c r="L12" i="33"/>
  <c r="N12" i="33" s="1"/>
  <c r="F75" i="33"/>
  <c r="F74" i="33"/>
  <c r="F51" i="33"/>
  <c r="F50" i="33"/>
  <c r="F62" i="33"/>
  <c r="F61" i="33"/>
  <c r="F46" i="33"/>
  <c r="F42" i="33"/>
  <c r="F78" i="33"/>
  <c r="F69" i="33"/>
  <c r="F53" i="33"/>
  <c r="F52" i="33"/>
  <c r="F37" i="33"/>
  <c r="F33" i="33"/>
  <c r="F77" i="33"/>
  <c r="F63" i="33"/>
  <c r="F55" i="33"/>
  <c r="F54" i="33"/>
  <c r="F47" i="33"/>
  <c r="F43" i="33"/>
  <c r="F82" i="33"/>
  <c r="F70" i="33"/>
  <c r="F38" i="33"/>
  <c r="F34" i="33"/>
  <c r="F30" i="33"/>
  <c r="F29" i="33"/>
  <c r="F65" i="33"/>
  <c r="F64" i="33"/>
  <c r="F57" i="33"/>
  <c r="F56" i="33"/>
  <c r="F28" i="33"/>
  <c r="F24" i="33"/>
  <c r="F71" i="33"/>
  <c r="F67" i="33"/>
  <c r="F66" i="33"/>
  <c r="F59" i="33"/>
  <c r="F58" i="33"/>
  <c r="F35" i="33"/>
  <c r="F31" i="33"/>
  <c r="F48" i="33"/>
  <c r="F39" i="33"/>
  <c r="F44" i="33"/>
  <c r="F40" i="33"/>
  <c r="D26" i="33"/>
  <c r="T123" i="39"/>
  <c r="V28" i="39"/>
  <c r="F163" i="30"/>
  <c r="F146" i="30"/>
  <c r="F142" i="30"/>
  <c r="F130" i="30"/>
  <c r="F129" i="30"/>
  <c r="F86" i="30"/>
  <c r="F82" i="30"/>
  <c r="F153" i="30"/>
  <c r="F152" i="30"/>
  <c r="F121" i="30"/>
  <c r="F120" i="30"/>
  <c r="F113" i="30"/>
  <c r="F112" i="30"/>
  <c r="F101" i="30"/>
  <c r="F100" i="30"/>
  <c r="F73" i="30"/>
  <c r="F69" i="30"/>
  <c r="F65" i="30"/>
  <c r="F61" i="30"/>
  <c r="F57" i="30"/>
  <c r="F53" i="30"/>
  <c r="F52" i="30"/>
  <c r="F136" i="30"/>
  <c r="F96" i="30"/>
  <c r="F92" i="30"/>
  <c r="F167" i="30"/>
  <c r="F155" i="30"/>
  <c r="F154" i="30"/>
  <c r="F147" i="30"/>
  <c r="F143" i="30"/>
  <c r="F131" i="30"/>
  <c r="F123" i="30"/>
  <c r="F122" i="30"/>
  <c r="F103" i="30"/>
  <c r="F102" i="30"/>
  <c r="F87" i="30"/>
  <c r="F83" i="30"/>
  <c r="F138" i="30"/>
  <c r="F137" i="30"/>
  <c r="F114" i="30"/>
  <c r="F74" i="30"/>
  <c r="F70" i="30"/>
  <c r="F66" i="30"/>
  <c r="F62" i="30"/>
  <c r="F58" i="30"/>
  <c r="F54" i="30"/>
  <c r="F125" i="30"/>
  <c r="F124" i="30"/>
  <c r="F105" i="30"/>
  <c r="F104" i="30"/>
  <c r="F97" i="30"/>
  <c r="F93" i="30"/>
  <c r="F156" i="30"/>
  <c r="F148" i="30"/>
  <c r="F144" i="30"/>
  <c r="F132" i="30"/>
  <c r="F116" i="30"/>
  <c r="F115" i="30"/>
  <c r="F88" i="30"/>
  <c r="F84" i="30"/>
  <c r="F80" i="30"/>
  <c r="F79" i="30"/>
  <c r="F139" i="30"/>
  <c r="F127" i="30"/>
  <c r="F126" i="30"/>
  <c r="F107" i="30"/>
  <c r="F106" i="30"/>
  <c r="F78" i="30"/>
  <c r="F76" i="30"/>
  <c r="F71" i="30"/>
  <c r="F67" i="30"/>
  <c r="F63" i="30"/>
  <c r="F59" i="30"/>
  <c r="F55" i="30"/>
  <c r="F158" i="30"/>
  <c r="F157" i="30"/>
  <c r="F150" i="30"/>
  <c r="F149" i="30"/>
  <c r="F134" i="30"/>
  <c r="F133" i="30"/>
  <c r="F98" i="30"/>
  <c r="F94" i="30"/>
  <c r="F90" i="30"/>
  <c r="F89" i="30"/>
  <c r="D76" i="30"/>
  <c r="F145" i="30"/>
  <c r="F141" i="30"/>
  <c r="F140" i="30"/>
  <c r="F117" i="30"/>
  <c r="F109" i="30"/>
  <c r="F108" i="30"/>
  <c r="F85" i="30"/>
  <c r="F81" i="30"/>
  <c r="F162" i="30"/>
  <c r="F160" i="30"/>
  <c r="F151" i="30"/>
  <c r="F135" i="30"/>
  <c r="F119" i="30"/>
  <c r="F118" i="30"/>
  <c r="F111" i="30"/>
  <c r="F110" i="30"/>
  <c r="F99" i="30"/>
  <c r="F95" i="30"/>
  <c r="F91" i="30"/>
  <c r="F68" i="30"/>
  <c r="F64" i="30"/>
  <c r="F60" i="30"/>
  <c r="F56" i="30"/>
  <c r="L12" i="30"/>
  <c r="N12" i="30" s="1"/>
  <c r="F72" i="30"/>
  <c r="F128" i="30"/>
  <c r="F161" i="30"/>
  <c r="H112" i="27"/>
  <c r="H104" i="21"/>
  <c r="N24" i="21"/>
  <c r="F98" i="27"/>
  <c r="F97" i="27"/>
  <c r="F78" i="27"/>
  <c r="F77" i="27"/>
  <c r="F109" i="27"/>
  <c r="F107" i="27"/>
  <c r="F82" i="27"/>
  <c r="F81" i="27"/>
  <c r="F74" i="27"/>
  <c r="F70" i="27"/>
  <c r="F100" i="27"/>
  <c r="F84" i="27"/>
  <c r="F83" i="27"/>
  <c r="F114" i="27"/>
  <c r="F102" i="27"/>
  <c r="F101" i="27"/>
  <c r="F94" i="27"/>
  <c r="F86" i="27"/>
  <c r="F85" i="27"/>
  <c r="F62" i="27"/>
  <c r="F73" i="27"/>
  <c r="F68" i="27"/>
  <c r="F58" i="27"/>
  <c r="F104" i="27"/>
  <c r="F92" i="27"/>
  <c r="F64" i="27"/>
  <c r="F49" i="27"/>
  <c r="F45" i="27"/>
  <c r="F41" i="27"/>
  <c r="F37" i="27"/>
  <c r="F105" i="27"/>
  <c r="F93" i="27"/>
  <c r="F79" i="27"/>
  <c r="F71" i="27"/>
  <c r="F99" i="27"/>
  <c r="F96" i="27"/>
  <c r="F89" i="27"/>
  <c r="F76" i="27"/>
  <c r="F59" i="27"/>
  <c r="F110" i="27"/>
  <c r="F69" i="27"/>
  <c r="F65" i="27"/>
  <c r="F50" i="27"/>
  <c r="F46" i="27"/>
  <c r="F42" i="27"/>
  <c r="F38" i="27"/>
  <c r="F80" i="27"/>
  <c r="F60" i="27"/>
  <c r="F56" i="27"/>
  <c r="F55" i="27"/>
  <c r="F90" i="27"/>
  <c r="F87" i="27"/>
  <c r="F63" i="27"/>
  <c r="F54" i="27"/>
  <c r="F47" i="27"/>
  <c r="F43" i="27"/>
  <c r="F39" i="27"/>
  <c r="F103" i="27"/>
  <c r="F72" i="27"/>
  <c r="F67" i="27"/>
  <c r="F66" i="27"/>
  <c r="D52" i="27"/>
  <c r="L12" i="27"/>
  <c r="N12" i="27" s="1"/>
  <c r="F95" i="27"/>
  <c r="F88" i="27"/>
  <c r="F75" i="27"/>
  <c r="F108" i="27"/>
  <c r="F61" i="27"/>
  <c r="F48" i="27"/>
  <c r="F44" i="27"/>
  <c r="F40" i="27"/>
  <c r="F36" i="27"/>
  <c r="F91" i="27"/>
  <c r="F35" i="27"/>
  <c r="F57" i="27"/>
  <c r="T241" i="18"/>
  <c r="T111" i="21"/>
  <c r="T260" i="3"/>
  <c r="Z143" i="3"/>
  <c r="P102" i="9"/>
  <c r="X17" i="9"/>
  <c r="P27" i="110"/>
  <c r="X18" i="110"/>
  <c r="H27" i="41"/>
  <c r="N18" i="41"/>
  <c r="D27" i="35"/>
  <c r="L18" i="35"/>
  <c r="L18" i="28"/>
  <c r="D27" i="28"/>
  <c r="T27" i="19"/>
  <c r="Z18" i="19"/>
  <c r="L18" i="26"/>
  <c r="D27" i="26"/>
  <c r="X18" i="17"/>
  <c r="P27" i="17"/>
  <c r="T27" i="4"/>
  <c r="Z18" i="4"/>
  <c r="D63" i="69"/>
  <c r="L18" i="69"/>
  <c r="R74" i="42"/>
  <c r="R63" i="42"/>
  <c r="R62" i="42"/>
  <c r="R55" i="42"/>
  <c r="R54" i="42"/>
  <c r="R46" i="42"/>
  <c r="R42" i="42"/>
  <c r="R27" i="42"/>
  <c r="R25" i="42"/>
  <c r="R85" i="42"/>
  <c r="R108" i="42"/>
  <c r="R101" i="42"/>
  <c r="R100" i="42"/>
  <c r="R96" i="42"/>
  <c r="R92" i="42"/>
  <c r="R81" i="42"/>
  <c r="R80" i="42"/>
  <c r="R121" i="42"/>
  <c r="R75" i="42"/>
  <c r="R47" i="42"/>
  <c r="R43" i="42"/>
  <c r="R39" i="42"/>
  <c r="R20" i="42"/>
  <c r="R102" i="42"/>
  <c r="R110" i="42"/>
  <c r="R109" i="42"/>
  <c r="R97" i="42"/>
  <c r="R93" i="42"/>
  <c r="R57" i="42"/>
  <c r="R111" i="42"/>
  <c r="R104" i="42"/>
  <c r="R103" i="42"/>
  <c r="R83" i="42"/>
  <c r="R114" i="42"/>
  <c r="R113" i="42"/>
  <c r="R98" i="42"/>
  <c r="R94" i="42"/>
  <c r="R90" i="42"/>
  <c r="R71" i="42"/>
  <c r="R70" i="42"/>
  <c r="R59" i="42"/>
  <c r="R58" i="42"/>
  <c r="R51" i="42"/>
  <c r="R50" i="42"/>
  <c r="R22" i="42"/>
  <c r="R115" i="42"/>
  <c r="R106" i="42"/>
  <c r="R105" i="42"/>
  <c r="R78" i="42"/>
  <c r="R77" i="42"/>
  <c r="R45" i="42"/>
  <c r="R41" i="42"/>
  <c r="R117" i="42"/>
  <c r="R107" i="42"/>
  <c r="R99" i="42"/>
  <c r="R95" i="42"/>
  <c r="R91" i="42"/>
  <c r="R79" i="42"/>
  <c r="R28" i="42"/>
  <c r="R82" i="42"/>
  <c r="R72" i="42"/>
  <c r="R67" i="42"/>
  <c r="R33" i="42"/>
  <c r="R89" i="42"/>
  <c r="R86" i="42"/>
  <c r="R84" i="42"/>
  <c r="R61" i="42"/>
  <c r="R53" i="42"/>
  <c r="R73" i="42"/>
  <c r="R23" i="42"/>
  <c r="R87" i="42"/>
  <c r="R64" i="42"/>
  <c r="R56" i="42"/>
  <c r="R36" i="42"/>
  <c r="R76" i="42"/>
  <c r="R68" i="42"/>
  <c r="R48" i="42"/>
  <c r="R31" i="42"/>
  <c r="R116" i="42"/>
  <c r="R65" i="42"/>
  <c r="R34" i="42"/>
  <c r="R29" i="42"/>
  <c r="P25" i="42"/>
  <c r="R21" i="42"/>
  <c r="R44" i="42"/>
  <c r="R40" i="42"/>
  <c r="R37" i="42"/>
  <c r="R88" i="42"/>
  <c r="R49" i="42"/>
  <c r="R32" i="42"/>
  <c r="X12" i="42"/>
  <c r="Z12" i="42" s="1"/>
  <c r="R69" i="42"/>
  <c r="R38" i="42"/>
  <c r="R60" i="42"/>
  <c r="R52" i="42"/>
  <c r="R35" i="42"/>
  <c r="R66" i="42"/>
  <c r="R30" i="42"/>
  <c r="T88" i="103"/>
  <c r="Z23" i="103"/>
  <c r="X23" i="95"/>
  <c r="Z23" i="95" s="1"/>
  <c r="P96" i="95"/>
  <c r="P78" i="92"/>
  <c r="X18" i="92"/>
  <c r="R88" i="107"/>
  <c r="R30" i="107"/>
  <c r="R26" i="107"/>
  <c r="R68" i="107"/>
  <c r="R40" i="107"/>
  <c r="R36" i="107"/>
  <c r="R21" i="107"/>
  <c r="R19" i="107"/>
  <c r="R79" i="107"/>
  <c r="R60" i="107"/>
  <c r="R59" i="107"/>
  <c r="R48" i="107"/>
  <c r="R47" i="107"/>
  <c r="R31" i="107"/>
  <c r="R27" i="107"/>
  <c r="R23" i="107"/>
  <c r="P19" i="107"/>
  <c r="R70" i="107"/>
  <c r="R69" i="107"/>
  <c r="R62" i="107"/>
  <c r="R61" i="107"/>
  <c r="R50" i="107"/>
  <c r="R49" i="107"/>
  <c r="R41" i="107"/>
  <c r="R37" i="107"/>
  <c r="R75" i="107"/>
  <c r="R71" i="107"/>
  <c r="R64" i="107"/>
  <c r="R63" i="107"/>
  <c r="R52" i="107"/>
  <c r="R51" i="107"/>
  <c r="R76" i="107"/>
  <c r="R72" i="107"/>
  <c r="R90" i="107"/>
  <c r="R86" i="107"/>
  <c r="R45" i="107"/>
  <c r="R38" i="107"/>
  <c r="R28" i="107"/>
  <c r="R82" i="107"/>
  <c r="R66" i="107"/>
  <c r="R77" i="107"/>
  <c r="R57" i="107"/>
  <c r="R16" i="107"/>
  <c r="R73" i="107"/>
  <c r="R34" i="107"/>
  <c r="R24" i="107"/>
  <c r="R43" i="107"/>
  <c r="R80" i="107"/>
  <c r="R46" i="107"/>
  <c r="R29" i="107"/>
  <c r="R22" i="107"/>
  <c r="R93" i="107"/>
  <c r="R84" i="107"/>
  <c r="R58" i="107"/>
  <c r="R55" i="107"/>
  <c r="R17" i="107"/>
  <c r="R78" i="107"/>
  <c r="R39" i="107"/>
  <c r="R81" i="107"/>
  <c r="R67" i="107"/>
  <c r="R44" i="107"/>
  <c r="R32" i="107"/>
  <c r="R65" i="107"/>
  <c r="R54" i="107"/>
  <c r="R53" i="107"/>
  <c r="R33" i="107"/>
  <c r="X12" i="107"/>
  <c r="Z12" i="107" s="1"/>
  <c r="R35" i="107"/>
  <c r="R42" i="107"/>
  <c r="R25" i="107"/>
  <c r="R56" i="107"/>
  <c r="R74" i="107"/>
  <c r="N24" i="108"/>
  <c r="H28" i="108"/>
  <c r="D71" i="109"/>
  <c r="L17" i="109"/>
  <c r="N17" i="109" s="1"/>
  <c r="P88" i="103"/>
  <c r="X23" i="103"/>
  <c r="T90" i="107"/>
  <c r="F90" i="103"/>
  <c r="F92" i="103"/>
  <c r="F81" i="103"/>
  <c r="F77" i="103"/>
  <c r="F65" i="103"/>
  <c r="F64" i="103"/>
  <c r="F53" i="103"/>
  <c r="F52" i="103"/>
  <c r="F45" i="103"/>
  <c r="F41" i="103"/>
  <c r="D23" i="103"/>
  <c r="F72" i="103"/>
  <c r="F36" i="103"/>
  <c r="F32" i="103"/>
  <c r="F28" i="103"/>
  <c r="L12" i="103"/>
  <c r="N12" i="103" s="1"/>
  <c r="F67" i="103"/>
  <c r="F66" i="103"/>
  <c r="F55" i="103"/>
  <c r="F54" i="103"/>
  <c r="F19" i="103"/>
  <c r="F18" i="103"/>
  <c r="F82" i="103"/>
  <c r="F78" i="103"/>
  <c r="F46" i="103"/>
  <c r="F42" i="103"/>
  <c r="F38" i="103"/>
  <c r="F37" i="103"/>
  <c r="F73" i="103"/>
  <c r="F57" i="103"/>
  <c r="F56" i="103"/>
  <c r="F33" i="103"/>
  <c r="F29" i="103"/>
  <c r="F84" i="103"/>
  <c r="F83" i="103"/>
  <c r="F68" i="103"/>
  <c r="F20" i="103"/>
  <c r="F79" i="103"/>
  <c r="F75" i="103"/>
  <c r="F74" i="103"/>
  <c r="F59" i="103"/>
  <c r="F58" i="103"/>
  <c r="F47" i="103"/>
  <c r="F43" i="103"/>
  <c r="F39" i="103"/>
  <c r="F95" i="103"/>
  <c r="F70" i="103"/>
  <c r="F69" i="103"/>
  <c r="F34" i="103"/>
  <c r="F30" i="103"/>
  <c r="F86" i="103"/>
  <c r="F61" i="103"/>
  <c r="F60" i="103"/>
  <c r="F49" i="103"/>
  <c r="F48" i="103"/>
  <c r="F21" i="103"/>
  <c r="F88" i="103"/>
  <c r="F25" i="103"/>
  <c r="F23" i="103"/>
  <c r="F35" i="103"/>
  <c r="F76" i="103"/>
  <c r="F63" i="103"/>
  <c r="F27" i="103"/>
  <c r="F71" i="103"/>
  <c r="F51" i="103"/>
  <c r="F80" i="103"/>
  <c r="F44" i="103"/>
  <c r="F50" i="103"/>
  <c r="F62" i="103"/>
  <c r="F26" i="103"/>
  <c r="F40" i="103"/>
  <c r="F31" i="103"/>
  <c r="X17" i="98"/>
  <c r="P25" i="98"/>
  <c r="T39" i="101"/>
  <c r="Z16" i="101"/>
  <c r="T117" i="84"/>
  <c r="V40" i="84"/>
  <c r="V45" i="76"/>
  <c r="P78" i="79"/>
  <c r="X21" i="79"/>
  <c r="Z21" i="79" s="1"/>
  <c r="T63" i="69"/>
  <c r="F74" i="70"/>
  <c r="F70" i="70"/>
  <c r="F66" i="70"/>
  <c r="F65" i="70"/>
  <c r="F113" i="70"/>
  <c r="F101" i="70"/>
  <c r="F100" i="70"/>
  <c r="F93" i="70"/>
  <c r="F85" i="70"/>
  <c r="F84" i="70"/>
  <c r="F61" i="70"/>
  <c r="F57" i="70"/>
  <c r="F95" i="70"/>
  <c r="F94" i="70"/>
  <c r="F87" i="70"/>
  <c r="F86" i="70"/>
  <c r="F75" i="70"/>
  <c r="F71" i="70"/>
  <c r="F67" i="70"/>
  <c r="F102" i="70"/>
  <c r="F97" i="70"/>
  <c r="F96" i="70"/>
  <c r="F77" i="70"/>
  <c r="F76" i="70"/>
  <c r="F104" i="70"/>
  <c r="F103" i="70"/>
  <c r="F88" i="70"/>
  <c r="F72" i="70"/>
  <c r="F68" i="70"/>
  <c r="F79" i="70"/>
  <c r="F78" i="70"/>
  <c r="F107" i="70"/>
  <c r="F98" i="70"/>
  <c r="F90" i="70"/>
  <c r="F89" i="70"/>
  <c r="F53" i="70"/>
  <c r="F51" i="70"/>
  <c r="F46" i="70"/>
  <c r="F42" i="70"/>
  <c r="F38" i="70"/>
  <c r="F99" i="70"/>
  <c r="F80" i="70"/>
  <c r="F64" i="70"/>
  <c r="F62" i="70"/>
  <c r="F108" i="70"/>
  <c r="F55" i="70"/>
  <c r="F44" i="70"/>
  <c r="F36" i="70"/>
  <c r="F91" i="70"/>
  <c r="F69" i="70"/>
  <c r="F60" i="70"/>
  <c r="F47" i="70"/>
  <c r="F39" i="70"/>
  <c r="F58" i="70"/>
  <c r="F83" i="70"/>
  <c r="F81" i="70"/>
  <c r="F56" i="70"/>
  <c r="D51" i="70"/>
  <c r="F45" i="70"/>
  <c r="F37" i="70"/>
  <c r="F34" i="70"/>
  <c r="F63" i="70"/>
  <c r="F48" i="70"/>
  <c r="F40" i="70"/>
  <c r="F109" i="70"/>
  <c r="F35" i="70"/>
  <c r="F92" i="70"/>
  <c r="F43" i="70"/>
  <c r="F82" i="70"/>
  <c r="F73" i="70"/>
  <c r="F54" i="70"/>
  <c r="F49" i="70"/>
  <c r="F41" i="70"/>
  <c r="F59" i="70"/>
  <c r="L12" i="70"/>
  <c r="N12" i="70" s="1"/>
  <c r="F106" i="70"/>
  <c r="Z16" i="63"/>
  <c r="T99" i="63"/>
  <c r="L16" i="60"/>
  <c r="H99" i="63"/>
  <c r="L99" i="63" s="1"/>
  <c r="N16" i="63"/>
  <c r="Z16" i="54"/>
  <c r="T22" i="54"/>
  <c r="X17" i="56"/>
  <c r="P78" i="56"/>
  <c r="H26" i="54"/>
  <c r="N22" i="54"/>
  <c r="X16" i="55"/>
  <c r="T71" i="48"/>
  <c r="H241" i="18"/>
  <c r="H218" i="15"/>
  <c r="T218" i="15"/>
  <c r="V116" i="12"/>
  <c r="P27" i="52"/>
  <c r="X18" i="52"/>
  <c r="L18" i="49"/>
  <c r="D27" i="49"/>
  <c r="L18" i="47"/>
  <c r="D27" i="47"/>
  <c r="T27" i="37"/>
  <c r="Z18" i="37"/>
  <c r="T27" i="31"/>
  <c r="Z18" i="31"/>
  <c r="T27" i="26"/>
  <c r="Z18" i="26"/>
  <c r="T27" i="25"/>
  <c r="Z18" i="25"/>
  <c r="L18" i="25"/>
  <c r="D27" i="25"/>
  <c r="D27" i="29"/>
  <c r="L18" i="29"/>
  <c r="H27" i="16"/>
  <c r="N18" i="16"/>
  <c r="H27" i="25"/>
  <c r="N18" i="25"/>
  <c r="T27" i="20"/>
  <c r="Z18" i="20"/>
  <c r="T27" i="14"/>
  <c r="Z18" i="14"/>
  <c r="H27" i="11"/>
  <c r="N18" i="11"/>
  <c r="H27" i="14"/>
  <c r="N18" i="14"/>
  <c r="R69" i="75"/>
  <c r="R54" i="75"/>
  <c r="R53" i="75"/>
  <c r="R37" i="75"/>
  <c r="R33" i="75"/>
  <c r="R29" i="75"/>
  <c r="R64" i="75"/>
  <c r="R63" i="75"/>
  <c r="R56" i="75"/>
  <c r="R55" i="75"/>
  <c r="R47" i="75"/>
  <c r="R43" i="75"/>
  <c r="R82" i="75"/>
  <c r="R70" i="75"/>
  <c r="R39" i="75"/>
  <c r="R38" i="75"/>
  <c r="R34" i="75"/>
  <c r="R30" i="75"/>
  <c r="P26" i="75"/>
  <c r="R66" i="75"/>
  <c r="R65" i="75"/>
  <c r="R58" i="75"/>
  <c r="R57" i="75"/>
  <c r="R48" i="75"/>
  <c r="R44" i="75"/>
  <c r="R40" i="75"/>
  <c r="R72" i="75"/>
  <c r="R71" i="75"/>
  <c r="R67" i="75"/>
  <c r="R59" i="75"/>
  <c r="R35" i="75"/>
  <c r="R31" i="75"/>
  <c r="R74" i="75"/>
  <c r="R73" i="75"/>
  <c r="R50" i="75"/>
  <c r="R49" i="75"/>
  <c r="R45" i="75"/>
  <c r="R41" i="75"/>
  <c r="R78" i="75"/>
  <c r="R77" i="75"/>
  <c r="R62" i="75"/>
  <c r="R46" i="75"/>
  <c r="R42" i="75"/>
  <c r="R36" i="75"/>
  <c r="R60" i="75"/>
  <c r="R51" i="75"/>
  <c r="X12" i="75"/>
  <c r="Z12" i="75" s="1"/>
  <c r="R75" i="75"/>
  <c r="R52" i="75"/>
  <c r="R68" i="75"/>
  <c r="R61" i="75"/>
  <c r="R32" i="75"/>
  <c r="R28" i="75"/>
  <c r="R24" i="75"/>
  <c r="H27" i="53"/>
  <c r="N18" i="53"/>
  <c r="T63" i="99"/>
  <c r="P78" i="94"/>
  <c r="X20" i="94"/>
  <c r="R35" i="82"/>
  <c r="R34" i="82"/>
  <c r="R30" i="82"/>
  <c r="R26" i="82"/>
  <c r="R21" i="82"/>
  <c r="R44" i="82"/>
  <c r="R40" i="82"/>
  <c r="R36" i="82"/>
  <c r="R25" i="82"/>
  <c r="R23" i="82"/>
  <c r="R31" i="82"/>
  <c r="R27" i="82"/>
  <c r="P23" i="82"/>
  <c r="R45" i="82"/>
  <c r="R41" i="82"/>
  <c r="R37" i="82"/>
  <c r="R18" i="82"/>
  <c r="R47" i="82"/>
  <c r="R32" i="82"/>
  <c r="R28" i="82"/>
  <c r="X12" i="82"/>
  <c r="Z12" i="82" s="1"/>
  <c r="R19" i="82"/>
  <c r="R42" i="82"/>
  <c r="R38" i="82"/>
  <c r="R51" i="82"/>
  <c r="R33" i="82"/>
  <c r="R29" i="82"/>
  <c r="R43" i="82"/>
  <c r="R39" i="82"/>
  <c r="R20" i="82"/>
  <c r="N16" i="102"/>
  <c r="H56" i="102"/>
  <c r="P56" i="99"/>
  <c r="X16" i="99"/>
  <c r="D25" i="98"/>
  <c r="L17" i="98"/>
  <c r="X19" i="80"/>
  <c r="P70" i="80"/>
  <c r="D49" i="82"/>
  <c r="L23" i="82"/>
  <c r="N23" i="82" s="1"/>
  <c r="L45" i="76"/>
  <c r="N45" i="76" s="1"/>
  <c r="D100" i="76"/>
  <c r="R76" i="76"/>
  <c r="R75" i="76"/>
  <c r="R67" i="76"/>
  <c r="R63" i="76"/>
  <c r="R32" i="76"/>
  <c r="R94" i="76"/>
  <c r="R87" i="76"/>
  <c r="R86" i="76"/>
  <c r="R59" i="76"/>
  <c r="R58" i="76"/>
  <c r="R54" i="76"/>
  <c r="R50" i="76"/>
  <c r="R97" i="76"/>
  <c r="R96" i="76"/>
  <c r="R78" i="76"/>
  <c r="R77" i="76"/>
  <c r="R41" i="76"/>
  <c r="R37" i="76"/>
  <c r="R33" i="76"/>
  <c r="R98" i="76"/>
  <c r="R88" i="76"/>
  <c r="R68" i="76"/>
  <c r="R64" i="76"/>
  <c r="R60" i="76"/>
  <c r="X12" i="76"/>
  <c r="Z12" i="76" s="1"/>
  <c r="R79" i="76"/>
  <c r="R55" i="76"/>
  <c r="R51" i="76"/>
  <c r="R42" i="76"/>
  <c r="R38" i="76"/>
  <c r="R34" i="76"/>
  <c r="R89" i="76"/>
  <c r="R70" i="76"/>
  <c r="R69" i="76"/>
  <c r="R65" i="76"/>
  <c r="R61" i="76"/>
  <c r="R102" i="76"/>
  <c r="R81" i="76"/>
  <c r="R80" i="76"/>
  <c r="R56" i="76"/>
  <c r="R52" i="76"/>
  <c r="R72" i="76"/>
  <c r="R71" i="76"/>
  <c r="R48" i="76"/>
  <c r="R43" i="76"/>
  <c r="R39" i="76"/>
  <c r="R35" i="76"/>
  <c r="R93" i="76"/>
  <c r="R92" i="76"/>
  <c r="R85" i="76"/>
  <c r="R84" i="76"/>
  <c r="R40" i="76"/>
  <c r="R36" i="76"/>
  <c r="R73" i="76"/>
  <c r="R90" i="76"/>
  <c r="R74" i="76"/>
  <c r="R49" i="76"/>
  <c r="R47" i="76"/>
  <c r="R82" i="76"/>
  <c r="R57" i="76"/>
  <c r="R53" i="76"/>
  <c r="R45" i="76"/>
  <c r="R91" i="76"/>
  <c r="R66" i="76"/>
  <c r="R62" i="76"/>
  <c r="P45" i="76"/>
  <c r="R83" i="76"/>
  <c r="H70" i="80"/>
  <c r="N19" i="80"/>
  <c r="D62" i="60"/>
  <c r="N16" i="58"/>
  <c r="H76" i="58"/>
  <c r="L16" i="61"/>
  <c r="P76" i="58"/>
  <c r="X16" i="58"/>
  <c r="J23" i="45"/>
  <c r="H101" i="45"/>
  <c r="P101" i="45"/>
  <c r="X23" i="45"/>
  <c r="Z23" i="45" s="1"/>
  <c r="F113" i="39"/>
  <c r="F101" i="39"/>
  <c r="F97" i="39"/>
  <c r="F61" i="39"/>
  <c r="F53" i="39"/>
  <c r="F52" i="39"/>
  <c r="F25" i="39"/>
  <c r="F92" i="39"/>
  <c r="F91" i="39"/>
  <c r="F80" i="39"/>
  <c r="F72" i="39"/>
  <c r="F71" i="39"/>
  <c r="F48" i="39"/>
  <c r="F44" i="39"/>
  <c r="F115" i="39"/>
  <c r="F114" i="39"/>
  <c r="F107" i="39"/>
  <c r="F87" i="39"/>
  <c r="F63" i="39"/>
  <c r="F62" i="39"/>
  <c r="F55" i="39"/>
  <c r="F54" i="39"/>
  <c r="F39" i="39"/>
  <c r="F35" i="39"/>
  <c r="F102" i="39"/>
  <c r="F98" i="39"/>
  <c r="F94" i="39"/>
  <c r="F93" i="39"/>
  <c r="F74" i="39"/>
  <c r="F73" i="39"/>
  <c r="F26" i="39"/>
  <c r="F118" i="39"/>
  <c r="F109" i="39"/>
  <c r="F108" i="39"/>
  <c r="F81" i="39"/>
  <c r="F65" i="39"/>
  <c r="F64" i="39"/>
  <c r="F57" i="39"/>
  <c r="F56" i="39"/>
  <c r="F49" i="39"/>
  <c r="F45" i="39"/>
  <c r="F119" i="39"/>
  <c r="F117" i="39"/>
  <c r="F88" i="39"/>
  <c r="F76" i="39"/>
  <c r="F75" i="39"/>
  <c r="F40" i="39"/>
  <c r="F36" i="39"/>
  <c r="F32" i="39"/>
  <c r="F31" i="39"/>
  <c r="F120" i="39"/>
  <c r="F111" i="39"/>
  <c r="F110" i="39"/>
  <c r="F103" i="39"/>
  <c r="F99" i="39"/>
  <c r="F95" i="39"/>
  <c r="F83" i="39"/>
  <c r="F82" i="39"/>
  <c r="F67" i="39"/>
  <c r="F66" i="39"/>
  <c r="F59" i="39"/>
  <c r="F58" i="39"/>
  <c r="F30" i="39"/>
  <c r="F121" i="39"/>
  <c r="F78" i="39"/>
  <c r="F77" i="39"/>
  <c r="F50" i="39"/>
  <c r="F46" i="39"/>
  <c r="F42" i="39"/>
  <c r="F41" i="39"/>
  <c r="D28" i="39"/>
  <c r="L12" i="39"/>
  <c r="N12" i="39" s="1"/>
  <c r="F89" i="39"/>
  <c r="F37" i="39"/>
  <c r="F33" i="39"/>
  <c r="F112" i="39"/>
  <c r="F104" i="39"/>
  <c r="F100" i="39"/>
  <c r="F96" i="39"/>
  <c r="F84" i="39"/>
  <c r="F68" i="39"/>
  <c r="F60" i="39"/>
  <c r="F24" i="39"/>
  <c r="F23" i="39"/>
  <c r="F106" i="39"/>
  <c r="F105" i="39"/>
  <c r="F90" i="39"/>
  <c r="F86" i="39"/>
  <c r="F85" i="39"/>
  <c r="F70" i="39"/>
  <c r="F69" i="39"/>
  <c r="F38" i="39"/>
  <c r="F34" i="39"/>
  <c r="F125" i="39"/>
  <c r="F79" i="39"/>
  <c r="F47" i="39"/>
  <c r="F51" i="39"/>
  <c r="F43" i="39"/>
  <c r="T92" i="24"/>
  <c r="R110" i="27"/>
  <c r="R83" i="27"/>
  <c r="R82" i="27"/>
  <c r="R74" i="27"/>
  <c r="R70" i="27"/>
  <c r="R114" i="27"/>
  <c r="R102" i="27"/>
  <c r="R95" i="27"/>
  <c r="R94" i="27"/>
  <c r="R87" i="27"/>
  <c r="R86" i="27"/>
  <c r="R62" i="27"/>
  <c r="R97" i="27"/>
  <c r="R96" i="27"/>
  <c r="R88" i="27"/>
  <c r="R77" i="27"/>
  <c r="R76" i="27"/>
  <c r="R72" i="27"/>
  <c r="R68" i="27"/>
  <c r="R98" i="27"/>
  <c r="R79" i="27"/>
  <c r="R78" i="27"/>
  <c r="R99" i="27"/>
  <c r="R89" i="27"/>
  <c r="R71" i="27"/>
  <c r="R55" i="27"/>
  <c r="R50" i="27"/>
  <c r="R46" i="27"/>
  <c r="R42" i="27"/>
  <c r="R38" i="27"/>
  <c r="R69" i="27"/>
  <c r="R65" i="27"/>
  <c r="R54" i="27"/>
  <c r="R52" i="27"/>
  <c r="R90" i="27"/>
  <c r="R80" i="27"/>
  <c r="R66" i="27"/>
  <c r="R60" i="27"/>
  <c r="R56" i="27"/>
  <c r="P52" i="27"/>
  <c r="R107" i="27"/>
  <c r="R47" i="27"/>
  <c r="R43" i="27"/>
  <c r="R39" i="27"/>
  <c r="R81" i="27"/>
  <c r="R63" i="27"/>
  <c r="R35" i="27"/>
  <c r="X12" i="27"/>
  <c r="Z12" i="27" s="1"/>
  <c r="R103" i="27"/>
  <c r="R100" i="27"/>
  <c r="R84" i="27"/>
  <c r="R67" i="27"/>
  <c r="R57" i="27"/>
  <c r="R108" i="27"/>
  <c r="R91" i="27"/>
  <c r="R61" i="27"/>
  <c r="R48" i="27"/>
  <c r="R44" i="27"/>
  <c r="R40" i="27"/>
  <c r="R36" i="27"/>
  <c r="R104" i="27"/>
  <c r="R92" i="27"/>
  <c r="R101" i="27"/>
  <c r="R85" i="27"/>
  <c r="R75" i="27"/>
  <c r="R58" i="27"/>
  <c r="R105" i="27"/>
  <c r="R93" i="27"/>
  <c r="R59" i="27"/>
  <c r="R109" i="27"/>
  <c r="R49" i="27"/>
  <c r="R45" i="27"/>
  <c r="R41" i="27"/>
  <c r="R37" i="27"/>
  <c r="R64" i="27"/>
  <c r="R73" i="27"/>
  <c r="R81" i="24"/>
  <c r="R65" i="24"/>
  <c r="R38" i="24"/>
  <c r="R33" i="24"/>
  <c r="R29" i="24"/>
  <c r="R88" i="24"/>
  <c r="R56" i="24"/>
  <c r="R52" i="24"/>
  <c r="R48" i="24"/>
  <c r="R37" i="24"/>
  <c r="R35" i="24"/>
  <c r="R25" i="24"/>
  <c r="R90" i="24"/>
  <c r="R76" i="24"/>
  <c r="R75" i="24"/>
  <c r="R43" i="24"/>
  <c r="R39" i="24"/>
  <c r="P35" i="24"/>
  <c r="R82" i="24"/>
  <c r="R67" i="24"/>
  <c r="R66" i="24"/>
  <c r="R30" i="24"/>
  <c r="R26" i="24"/>
  <c r="X12" i="24"/>
  <c r="Z12" i="24" s="1"/>
  <c r="R77" i="24"/>
  <c r="R58" i="24"/>
  <c r="R57" i="24"/>
  <c r="R53" i="24"/>
  <c r="R49" i="24"/>
  <c r="R94" i="24"/>
  <c r="R69" i="24"/>
  <c r="R68" i="24"/>
  <c r="R44" i="24"/>
  <c r="R40" i="24"/>
  <c r="R84" i="24"/>
  <c r="R83" i="24"/>
  <c r="R60" i="24"/>
  <c r="R59" i="24"/>
  <c r="R31" i="24"/>
  <c r="R27" i="24"/>
  <c r="R79" i="24"/>
  <c r="R78" i="24"/>
  <c r="R71" i="24"/>
  <c r="R70" i="24"/>
  <c r="R54" i="24"/>
  <c r="R50" i="24"/>
  <c r="R85" i="24"/>
  <c r="R62" i="24"/>
  <c r="R61" i="24"/>
  <c r="R45" i="24"/>
  <c r="R41" i="24"/>
  <c r="R87" i="24"/>
  <c r="R86" i="24"/>
  <c r="R74" i="24"/>
  <c r="R47" i="24"/>
  <c r="R46" i="24"/>
  <c r="R42" i="24"/>
  <c r="R72" i="24"/>
  <c r="R64" i="24"/>
  <c r="R80" i="24"/>
  <c r="R73" i="24"/>
  <c r="R63" i="24"/>
  <c r="R51" i="24"/>
  <c r="R55" i="24"/>
  <c r="R32" i="24"/>
  <c r="R28" i="24"/>
  <c r="R231" i="18"/>
  <c r="R230" i="18"/>
  <c r="R218" i="18"/>
  <c r="R214" i="18"/>
  <c r="R202" i="18"/>
  <c r="R130" i="18"/>
  <c r="R126" i="18"/>
  <c r="R122" i="18"/>
  <c r="R118" i="18"/>
  <c r="R114" i="18"/>
  <c r="R110" i="18"/>
  <c r="R106" i="18"/>
  <c r="R102" i="18"/>
  <c r="R98" i="18"/>
  <c r="R94" i="18"/>
  <c r="R197" i="18"/>
  <c r="R190" i="18"/>
  <c r="R189" i="18"/>
  <c r="R182" i="18"/>
  <c r="R181" i="18"/>
  <c r="R173" i="18"/>
  <c r="R166" i="18"/>
  <c r="R165" i="18"/>
  <c r="R157" i="18"/>
  <c r="R153" i="18"/>
  <c r="R149" i="18"/>
  <c r="R90" i="18"/>
  <c r="R232" i="18"/>
  <c r="R225" i="18"/>
  <c r="R224" i="18"/>
  <c r="R209" i="18"/>
  <c r="R208" i="18"/>
  <c r="R144" i="18"/>
  <c r="R140" i="18"/>
  <c r="X12" i="18"/>
  <c r="Z12" i="18" s="1"/>
  <c r="R235" i="18"/>
  <c r="R234" i="18"/>
  <c r="R219" i="18"/>
  <c r="R215" i="18"/>
  <c r="R204" i="18"/>
  <c r="R203" i="18"/>
  <c r="R192" i="18"/>
  <c r="R191" i="18"/>
  <c r="R183" i="18"/>
  <c r="R167" i="18"/>
  <c r="R131" i="18"/>
  <c r="R127" i="18"/>
  <c r="R123" i="18"/>
  <c r="R119" i="18"/>
  <c r="R115" i="18"/>
  <c r="R111" i="18"/>
  <c r="R107" i="18"/>
  <c r="R103" i="18"/>
  <c r="R99" i="18"/>
  <c r="R95" i="18"/>
  <c r="R91" i="18"/>
  <c r="R236" i="18"/>
  <c r="R227" i="18"/>
  <c r="R226" i="18"/>
  <c r="R210" i="18"/>
  <c r="R199" i="18"/>
  <c r="R198" i="18"/>
  <c r="R175" i="18"/>
  <c r="R174" i="18"/>
  <c r="R159" i="18"/>
  <c r="R158" i="18"/>
  <c r="R154" i="18"/>
  <c r="R150" i="18"/>
  <c r="R237" i="18"/>
  <c r="R205" i="18"/>
  <c r="R194" i="18"/>
  <c r="R193" i="18"/>
  <c r="R145" i="18"/>
  <c r="R141" i="18"/>
  <c r="R238" i="18"/>
  <c r="R228" i="18"/>
  <c r="R220" i="18"/>
  <c r="R216" i="18"/>
  <c r="R200" i="18"/>
  <c r="R184" i="18"/>
  <c r="R177" i="18"/>
  <c r="R176" i="18"/>
  <c r="R169" i="18"/>
  <c r="R168" i="18"/>
  <c r="R161" i="18"/>
  <c r="R160" i="18"/>
  <c r="R137" i="18"/>
  <c r="R132" i="18"/>
  <c r="R128" i="18"/>
  <c r="R124" i="18"/>
  <c r="R120" i="18"/>
  <c r="R116" i="18"/>
  <c r="R112" i="18"/>
  <c r="R108" i="18"/>
  <c r="R104" i="18"/>
  <c r="R100" i="18"/>
  <c r="R96" i="18"/>
  <c r="R92" i="18"/>
  <c r="R239" i="18"/>
  <c r="R212" i="18"/>
  <c r="R211" i="18"/>
  <c r="R195" i="18"/>
  <c r="R155" i="18"/>
  <c r="R151" i="18"/>
  <c r="R136" i="18"/>
  <c r="R134" i="18"/>
  <c r="R206" i="18"/>
  <c r="R179" i="18"/>
  <c r="R178" i="18"/>
  <c r="R170" i="18"/>
  <c r="R162" i="18"/>
  <c r="R146" i="18"/>
  <c r="R142" i="18"/>
  <c r="R138" i="18"/>
  <c r="P134" i="18"/>
  <c r="R229" i="18"/>
  <c r="R222" i="18"/>
  <c r="R221" i="18"/>
  <c r="R217" i="18"/>
  <c r="R213" i="18"/>
  <c r="R201" i="18"/>
  <c r="R186" i="18"/>
  <c r="R185" i="18"/>
  <c r="R129" i="18"/>
  <c r="R125" i="18"/>
  <c r="R121" i="18"/>
  <c r="R117" i="18"/>
  <c r="R113" i="18"/>
  <c r="R109" i="18"/>
  <c r="R105" i="18"/>
  <c r="R101" i="18"/>
  <c r="R97" i="18"/>
  <c r="R93" i="18"/>
  <c r="R243" i="18"/>
  <c r="R223" i="18"/>
  <c r="R207" i="18"/>
  <c r="R188" i="18"/>
  <c r="R187" i="18"/>
  <c r="R172" i="18"/>
  <c r="R171" i="18"/>
  <c r="R164" i="18"/>
  <c r="R163" i="18"/>
  <c r="R148" i="18"/>
  <c r="R147" i="18"/>
  <c r="R143" i="18"/>
  <c r="R139" i="18"/>
  <c r="R180" i="18"/>
  <c r="R152" i="18"/>
  <c r="R196" i="18"/>
  <c r="R156" i="18"/>
  <c r="T27" i="111"/>
  <c r="Z18" i="111"/>
  <c r="X18" i="41"/>
  <c r="P27" i="41"/>
  <c r="T27" i="29"/>
  <c r="Z18" i="29"/>
  <c r="H27" i="29"/>
  <c r="N18" i="29"/>
  <c r="H27" i="23"/>
  <c r="N18" i="23"/>
  <c r="X18" i="19"/>
  <c r="P27" i="19"/>
  <c r="H27" i="26"/>
  <c r="N18" i="26"/>
  <c r="H27" i="22"/>
  <c r="N18" i="22"/>
  <c r="X18" i="16"/>
  <c r="P27" i="16"/>
  <c r="P27" i="14"/>
  <c r="X18" i="14"/>
  <c r="T131" i="36" l="1"/>
  <c r="V127" i="36"/>
  <c r="X27" i="14"/>
  <c r="P31" i="14"/>
  <c r="H31" i="29"/>
  <c r="N27" i="29"/>
  <c r="P100" i="76"/>
  <c r="X45" i="76"/>
  <c r="Z45" i="76" s="1"/>
  <c r="X27" i="16"/>
  <c r="P31" i="16"/>
  <c r="H80" i="58"/>
  <c r="P74" i="80"/>
  <c r="X70" i="80"/>
  <c r="N27" i="53"/>
  <c r="H31" i="53"/>
  <c r="N27" i="16"/>
  <c r="H31" i="16"/>
  <c r="Z27" i="37"/>
  <c r="T31" i="37"/>
  <c r="D111" i="70"/>
  <c r="L51" i="70"/>
  <c r="N51" i="70" s="1"/>
  <c r="X27" i="17"/>
  <c r="P31" i="17"/>
  <c r="D165" i="30"/>
  <c r="L76" i="30"/>
  <c r="N76" i="30" s="1"/>
  <c r="T60" i="102"/>
  <c r="X27" i="22"/>
  <c r="P31" i="22"/>
  <c r="T82" i="56"/>
  <c r="X20" i="85"/>
  <c r="Z20" i="85" s="1"/>
  <c r="P28" i="85"/>
  <c r="X27" i="23"/>
  <c r="P31" i="23"/>
  <c r="X27" i="38"/>
  <c r="P31" i="38"/>
  <c r="D131" i="36"/>
  <c r="L127" i="36"/>
  <c r="N127" i="36" s="1"/>
  <c r="F127" i="36"/>
  <c r="P108" i="21"/>
  <c r="X104" i="21"/>
  <c r="Z104" i="21" s="1"/>
  <c r="R104" i="21"/>
  <c r="P31" i="49"/>
  <c r="X27" i="49"/>
  <c r="L112" i="15"/>
  <c r="N112" i="15" s="1"/>
  <c r="D218" i="15"/>
  <c r="P218" i="15"/>
  <c r="X112" i="15"/>
  <c r="Z112" i="15" s="1"/>
  <c r="D100" i="95"/>
  <c r="L96" i="95"/>
  <c r="N96" i="95" s="1"/>
  <c r="F96" i="95"/>
  <c r="D84" i="97"/>
  <c r="L19" i="97"/>
  <c r="H229" i="12"/>
  <c r="J225" i="12"/>
  <c r="X27" i="34"/>
  <c r="P31" i="34"/>
  <c r="X27" i="112"/>
  <c r="P31" i="112"/>
  <c r="D106" i="63"/>
  <c r="H64" i="61"/>
  <c r="T102" i="105"/>
  <c r="V99" i="105"/>
  <c r="L27" i="10"/>
  <c r="D31" i="10"/>
  <c r="D31" i="22"/>
  <c r="L27" i="22"/>
  <c r="Z27" i="49"/>
  <c r="T31" i="49"/>
  <c r="D108" i="21"/>
  <c r="L104" i="21"/>
  <c r="N104" i="21" s="1"/>
  <c r="H96" i="24"/>
  <c r="J92" i="24"/>
  <c r="X19" i="87"/>
  <c r="P86" i="87"/>
  <c r="P31" i="108"/>
  <c r="H80" i="57"/>
  <c r="T67" i="69"/>
  <c r="V63" i="69"/>
  <c r="D112" i="27"/>
  <c r="L52" i="27"/>
  <c r="N52" i="27" s="1"/>
  <c r="V119" i="27"/>
  <c r="N27" i="10"/>
  <c r="H31" i="10"/>
  <c r="L35" i="68"/>
  <c r="N35" i="68" s="1"/>
  <c r="D92" i="68"/>
  <c r="Z27" i="43"/>
  <c r="T31" i="43"/>
  <c r="P31" i="41"/>
  <c r="X27" i="41"/>
  <c r="P112" i="27"/>
  <c r="X52" i="27"/>
  <c r="Z52" i="27" s="1"/>
  <c r="L28" i="39"/>
  <c r="N28" i="39" s="1"/>
  <c r="D123" i="39"/>
  <c r="D65" i="60"/>
  <c r="H31" i="14"/>
  <c r="N27" i="14"/>
  <c r="D31" i="29"/>
  <c r="L27" i="29"/>
  <c r="H103" i="63"/>
  <c r="L103" i="63" s="1"/>
  <c r="N99" i="63"/>
  <c r="T121" i="84"/>
  <c r="V117" i="84"/>
  <c r="D75" i="109"/>
  <c r="L71" i="109"/>
  <c r="N71" i="109" s="1"/>
  <c r="F71" i="109"/>
  <c r="P86" i="107"/>
  <c r="X19" i="107"/>
  <c r="Z19" i="107" s="1"/>
  <c r="T92" i="103"/>
  <c r="V88" i="103"/>
  <c r="D31" i="26"/>
  <c r="L27" i="26"/>
  <c r="D31" i="34"/>
  <c r="L27" i="34"/>
  <c r="P34" i="100"/>
  <c r="X30" i="100"/>
  <c r="N27" i="49"/>
  <c r="H31" i="49"/>
  <c r="X116" i="12"/>
  <c r="Z116" i="12" s="1"/>
  <c r="P225" i="12"/>
  <c r="R116" i="12"/>
  <c r="L78" i="56"/>
  <c r="N78" i="56" s="1"/>
  <c r="D82" i="56"/>
  <c r="L27" i="52"/>
  <c r="D31" i="52"/>
  <c r="H31" i="7"/>
  <c r="N27" i="7"/>
  <c r="J130" i="39"/>
  <c r="X27" i="26"/>
  <c r="P31" i="26"/>
  <c r="H40" i="55"/>
  <c r="H96" i="68"/>
  <c r="J92" i="68"/>
  <c r="T75" i="109"/>
  <c r="V71" i="109"/>
  <c r="P31" i="4"/>
  <c r="X27" i="4"/>
  <c r="H31" i="47"/>
  <c r="N27" i="47"/>
  <c r="H85" i="56"/>
  <c r="L24" i="108"/>
  <c r="D28" i="108"/>
  <c r="L27" i="47"/>
  <c r="D31" i="47"/>
  <c r="N27" i="43"/>
  <c r="H31" i="43"/>
  <c r="H90" i="87"/>
  <c r="T74" i="72"/>
  <c r="V70" i="72"/>
  <c r="D100" i="51"/>
  <c r="L45" i="51"/>
  <c r="N45" i="51" s="1"/>
  <c r="L27" i="17"/>
  <c r="D31" i="17"/>
  <c r="X100" i="51"/>
  <c r="Z100" i="51" s="1"/>
  <c r="P104" i="51"/>
  <c r="R100" i="51"/>
  <c r="P31" i="28"/>
  <c r="X27" i="28"/>
  <c r="L76" i="74"/>
  <c r="N76" i="74" s="1"/>
  <c r="D147" i="74"/>
  <c r="N27" i="22"/>
  <c r="H31" i="22"/>
  <c r="D29" i="98"/>
  <c r="L25" i="98"/>
  <c r="F25" i="98"/>
  <c r="D31" i="25"/>
  <c r="L27" i="25"/>
  <c r="L27" i="49"/>
  <c r="D31" i="49"/>
  <c r="T75" i="48"/>
  <c r="X75" i="48" s="1"/>
  <c r="V71" i="48"/>
  <c r="P106" i="9"/>
  <c r="X102" i="9"/>
  <c r="H75" i="109"/>
  <c r="J71" i="109"/>
  <c r="H31" i="111"/>
  <c r="N27" i="111"/>
  <c r="T123" i="42"/>
  <c r="V119" i="42"/>
  <c r="T77" i="57"/>
  <c r="T36" i="88"/>
  <c r="T53" i="82"/>
  <c r="V49" i="82"/>
  <c r="N27" i="34"/>
  <c r="H31" i="34"/>
  <c r="N27" i="44"/>
  <c r="H31" i="44"/>
  <c r="P264" i="3"/>
  <c r="X260" i="3"/>
  <c r="Z260" i="3" s="1"/>
  <c r="R260" i="3"/>
  <c r="H85" i="94"/>
  <c r="X56" i="102"/>
  <c r="Z56" i="102" s="1"/>
  <c r="P60" i="102"/>
  <c r="X27" i="7"/>
  <c r="P31" i="7"/>
  <c r="D39" i="88"/>
  <c r="Z25" i="98"/>
  <c r="T29" i="98"/>
  <c r="X27" i="8"/>
  <c r="P31" i="8"/>
  <c r="T115" i="70"/>
  <c r="V111" i="70"/>
  <c r="T31" i="5"/>
  <c r="Z27" i="5"/>
  <c r="D31" i="38"/>
  <c r="L27" i="38"/>
  <c r="D106" i="9"/>
  <c r="L102" i="9"/>
  <c r="N102" i="9" s="1"/>
  <c r="P62" i="60"/>
  <c r="X58" i="60"/>
  <c r="H83" i="93"/>
  <c r="Z27" i="44"/>
  <c r="T31" i="44"/>
  <c r="X19" i="72"/>
  <c r="Z19" i="72" s="1"/>
  <c r="P70" i="72"/>
  <c r="N24" i="104"/>
  <c r="H28" i="104"/>
  <c r="Z27" i="32"/>
  <c r="T31" i="32"/>
  <c r="D101" i="45"/>
  <c r="L23" i="45"/>
  <c r="N23" i="45" s="1"/>
  <c r="T84" i="75"/>
  <c r="V80" i="75"/>
  <c r="L24" i="104"/>
  <c r="D28" i="104"/>
  <c r="D78" i="79"/>
  <c r="L21" i="79"/>
  <c r="N21" i="79" s="1"/>
  <c r="D31" i="7"/>
  <c r="L27" i="7"/>
  <c r="L27" i="37"/>
  <c r="D31" i="37"/>
  <c r="D225" i="12"/>
  <c r="L116" i="12"/>
  <c r="N116" i="12" s="1"/>
  <c r="T104" i="51"/>
  <c r="V100" i="51"/>
  <c r="D117" i="84"/>
  <c r="L40" i="84"/>
  <c r="N40" i="84" s="1"/>
  <c r="P31" i="11"/>
  <c r="X27" i="11"/>
  <c r="N27" i="112"/>
  <c r="H31" i="112"/>
  <c r="J107" i="76"/>
  <c r="Z27" i="35"/>
  <c r="T31" i="35"/>
  <c r="H264" i="3"/>
  <c r="N260" i="3"/>
  <c r="J260" i="3"/>
  <c r="N27" i="50"/>
  <c r="H31" i="50"/>
  <c r="P165" i="30"/>
  <c r="X76" i="30"/>
  <c r="Z76" i="30" s="1"/>
  <c r="P31" i="10"/>
  <c r="X27" i="10"/>
  <c r="X27" i="50"/>
  <c r="P31" i="50"/>
  <c r="X26" i="33"/>
  <c r="Z26" i="33" s="1"/>
  <c r="P80" i="33"/>
  <c r="L25" i="42"/>
  <c r="N25" i="42" s="1"/>
  <c r="D119" i="42"/>
  <c r="P31" i="5"/>
  <c r="X27" i="5"/>
  <c r="P86" i="91"/>
  <c r="X82" i="91"/>
  <c r="Z82" i="91" s="1"/>
  <c r="H245" i="18"/>
  <c r="J241" i="18"/>
  <c r="X71" i="109"/>
  <c r="Z71" i="109" s="1"/>
  <c r="P75" i="109"/>
  <c r="R71" i="109"/>
  <c r="T43" i="101"/>
  <c r="P60" i="99"/>
  <c r="X56" i="99"/>
  <c r="Z56" i="99" s="1"/>
  <c r="P29" i="98"/>
  <c r="X25" i="98"/>
  <c r="R25" i="98"/>
  <c r="H31" i="108"/>
  <c r="N31" i="108" s="1"/>
  <c r="N28" i="108"/>
  <c r="T31" i="19"/>
  <c r="Z27" i="19"/>
  <c r="T264" i="3"/>
  <c r="V260" i="3"/>
  <c r="L260" i="3"/>
  <c r="D264" i="3"/>
  <c r="F260" i="3"/>
  <c r="D31" i="111"/>
  <c r="L27" i="111"/>
  <c r="H103" i="95"/>
  <c r="J100" i="95"/>
  <c r="T31" i="28"/>
  <c r="Z27" i="28"/>
  <c r="N27" i="46"/>
  <c r="H31" i="46"/>
  <c r="X19" i="97"/>
  <c r="P84" i="97"/>
  <c r="D96" i="24"/>
  <c r="L92" i="24"/>
  <c r="N92" i="24" s="1"/>
  <c r="X22" i="54"/>
  <c r="P26" i="54"/>
  <c r="T28" i="104"/>
  <c r="Z24" i="104"/>
  <c r="H151" i="74"/>
  <c r="J147" i="74"/>
  <c r="Z27" i="50"/>
  <c r="T31" i="50"/>
  <c r="T84" i="33"/>
  <c r="V80" i="33"/>
  <c r="Z27" i="34"/>
  <c r="T31" i="34"/>
  <c r="N27" i="52"/>
  <c r="H31" i="52"/>
  <c r="L27" i="5"/>
  <c r="D31" i="5"/>
  <c r="D31" i="43"/>
  <c r="L27" i="43"/>
  <c r="Z27" i="53"/>
  <c r="T31" i="53"/>
  <c r="P127" i="36"/>
  <c r="X27" i="36"/>
  <c r="Z27" i="36" s="1"/>
  <c r="D77" i="57"/>
  <c r="L73" i="57"/>
  <c r="N73" i="57" s="1"/>
  <c r="J95" i="83"/>
  <c r="H121" i="84"/>
  <c r="J117" i="84"/>
  <c r="F76" i="74"/>
  <c r="T93" i="87"/>
  <c r="N27" i="11"/>
  <c r="H31" i="11"/>
  <c r="N27" i="26"/>
  <c r="H31" i="26"/>
  <c r="Z27" i="111"/>
  <c r="T31" i="111"/>
  <c r="X134" i="18"/>
  <c r="Z134" i="18" s="1"/>
  <c r="P241" i="18"/>
  <c r="P92" i="24"/>
  <c r="X35" i="24"/>
  <c r="Z35" i="24" s="1"/>
  <c r="P105" i="45"/>
  <c r="X101" i="45"/>
  <c r="R101" i="45"/>
  <c r="P80" i="75"/>
  <c r="X26" i="75"/>
  <c r="Z26" i="75" s="1"/>
  <c r="P31" i="19"/>
  <c r="X27" i="19"/>
  <c r="H105" i="45"/>
  <c r="J101" i="45"/>
  <c r="H60" i="102"/>
  <c r="P49" i="82"/>
  <c r="X23" i="82"/>
  <c r="Z23" i="82" s="1"/>
  <c r="Z27" i="14"/>
  <c r="T31" i="14"/>
  <c r="Z27" i="25"/>
  <c r="T31" i="25"/>
  <c r="X27" i="52"/>
  <c r="P31" i="52"/>
  <c r="H31" i="54"/>
  <c r="N26" i="54"/>
  <c r="P82" i="79"/>
  <c r="X78" i="79"/>
  <c r="Z78" i="79" s="1"/>
  <c r="R78" i="79"/>
  <c r="P119" i="42"/>
  <c r="X25" i="42"/>
  <c r="Z25" i="42" s="1"/>
  <c r="L27" i="28"/>
  <c r="D31" i="28"/>
  <c r="V111" i="21"/>
  <c r="H108" i="21"/>
  <c r="J104" i="21"/>
  <c r="T127" i="39"/>
  <c r="V123" i="39"/>
  <c r="P63" i="69"/>
  <c r="X18" i="69"/>
  <c r="Z18" i="69" s="1"/>
  <c r="X35" i="68"/>
  <c r="Z35" i="68" s="1"/>
  <c r="P92" i="68"/>
  <c r="T31" i="13"/>
  <c r="Z27" i="13"/>
  <c r="H95" i="103"/>
  <c r="J92" i="103"/>
  <c r="Z27" i="17"/>
  <c r="T31" i="17"/>
  <c r="T105" i="45"/>
  <c r="Z101" i="45"/>
  <c r="V101" i="45"/>
  <c r="P31" i="29"/>
  <c r="X27" i="29"/>
  <c r="T99" i="68"/>
  <c r="V96" i="68"/>
  <c r="H88" i="97"/>
  <c r="D31" i="16"/>
  <c r="L27" i="16"/>
  <c r="H31" i="40"/>
  <c r="N27" i="40"/>
  <c r="H90" i="107"/>
  <c r="J86" i="107"/>
  <c r="N27" i="4"/>
  <c r="H31" i="4"/>
  <c r="L27" i="53"/>
  <c r="D31" i="53"/>
  <c r="L27" i="19"/>
  <c r="D31" i="19"/>
  <c r="X27" i="43"/>
  <c r="P31" i="43"/>
  <c r="P78" i="48"/>
  <c r="R75" i="48"/>
  <c r="L70" i="80"/>
  <c r="N70" i="80" s="1"/>
  <c r="D74" i="80"/>
  <c r="X27" i="111"/>
  <c r="P31" i="111"/>
  <c r="H118" i="70"/>
  <c r="J115" i="70"/>
  <c r="L27" i="14"/>
  <c r="D31" i="14"/>
  <c r="L27" i="50"/>
  <c r="D31" i="50"/>
  <c r="L60" i="61"/>
  <c r="N60" i="61" s="1"/>
  <c r="H29" i="98"/>
  <c r="N25" i="98"/>
  <c r="D92" i="83"/>
  <c r="L88" i="83"/>
  <c r="N88" i="83" s="1"/>
  <c r="L26" i="33"/>
  <c r="N26" i="33" s="1"/>
  <c r="D80" i="33"/>
  <c r="P40" i="55"/>
  <c r="D83" i="93"/>
  <c r="L79" i="93"/>
  <c r="N79" i="93" s="1"/>
  <c r="Z27" i="38"/>
  <c r="T31" i="38"/>
  <c r="D75" i="48"/>
  <c r="L71" i="48"/>
  <c r="N71" i="48" s="1"/>
  <c r="F71" i="48"/>
  <c r="P147" i="74"/>
  <c r="X76" i="74"/>
  <c r="Z76" i="74" s="1"/>
  <c r="T100" i="95"/>
  <c r="V96" i="95"/>
  <c r="N27" i="8"/>
  <c r="H31" i="8"/>
  <c r="Z27" i="52"/>
  <c r="T31" i="52"/>
  <c r="T64" i="61"/>
  <c r="H82" i="79"/>
  <c r="J78" i="79"/>
  <c r="X27" i="37"/>
  <c r="P31" i="37"/>
  <c r="D31" i="40"/>
  <c r="L27" i="40"/>
  <c r="H36" i="88"/>
  <c r="L36" i="88" s="1"/>
  <c r="N32" i="88"/>
  <c r="T31" i="47"/>
  <c r="Z27" i="47"/>
  <c r="L27" i="31"/>
  <c r="D31" i="31"/>
  <c r="T229" i="12"/>
  <c r="V225" i="12"/>
  <c r="X71" i="48"/>
  <c r="Z71" i="48" s="1"/>
  <c r="X36" i="88"/>
  <c r="P39" i="88"/>
  <c r="H31" i="13"/>
  <c r="N27" i="13"/>
  <c r="D31" i="41"/>
  <c r="L27" i="41"/>
  <c r="T92" i="83"/>
  <c r="V88" i="83"/>
  <c r="L27" i="44"/>
  <c r="D31" i="44"/>
  <c r="L64" i="61"/>
  <c r="D67" i="61"/>
  <c r="T31" i="29"/>
  <c r="Z27" i="29"/>
  <c r="P117" i="84"/>
  <c r="X40" i="84"/>
  <c r="Z40" i="84" s="1"/>
  <c r="D104" i="76"/>
  <c r="L100" i="76"/>
  <c r="N100" i="76" s="1"/>
  <c r="F100" i="76"/>
  <c r="P82" i="94"/>
  <c r="X78" i="94"/>
  <c r="Z78" i="94" s="1"/>
  <c r="R78" i="94"/>
  <c r="Z27" i="20"/>
  <c r="T31" i="20"/>
  <c r="Z27" i="26"/>
  <c r="T31" i="26"/>
  <c r="T222" i="15"/>
  <c r="V218" i="15"/>
  <c r="D88" i="103"/>
  <c r="L23" i="103"/>
  <c r="N23" i="103" s="1"/>
  <c r="T93" i="107"/>
  <c r="V90" i="107"/>
  <c r="T245" i="18"/>
  <c r="V241" i="18"/>
  <c r="H116" i="27"/>
  <c r="J112" i="27"/>
  <c r="X73" i="57"/>
  <c r="Z73" i="57" s="1"/>
  <c r="P77" i="57"/>
  <c r="L27" i="11"/>
  <c r="D31" i="11"/>
  <c r="T37" i="55"/>
  <c r="X37" i="55" s="1"/>
  <c r="Z33" i="55"/>
  <c r="H43" i="101"/>
  <c r="Z27" i="23"/>
  <c r="T31" i="23"/>
  <c r="H106" i="9"/>
  <c r="H75" i="48"/>
  <c r="J71" i="48"/>
  <c r="R40" i="84"/>
  <c r="L95" i="105"/>
  <c r="N95" i="105" s="1"/>
  <c r="D99" i="105"/>
  <c r="F95" i="105"/>
  <c r="P31" i="32"/>
  <c r="X27" i="32"/>
  <c r="D31" i="112"/>
  <c r="L27" i="112"/>
  <c r="D90" i="87"/>
  <c r="L86" i="87"/>
  <c r="N86" i="87" s="1"/>
  <c r="N27" i="20"/>
  <c r="H31" i="20"/>
  <c r="H104" i="51"/>
  <c r="J100" i="51"/>
  <c r="D31" i="8"/>
  <c r="L27" i="8"/>
  <c r="X27" i="53"/>
  <c r="P31" i="53"/>
  <c r="L22" i="54"/>
  <c r="D26" i="54"/>
  <c r="J74" i="72"/>
  <c r="H77" i="72"/>
  <c r="X32" i="88"/>
  <c r="Z32" i="88" s="1"/>
  <c r="N22" i="6"/>
  <c r="H26" i="6"/>
  <c r="T172" i="30"/>
  <c r="V169" i="30"/>
  <c r="L76" i="58"/>
  <c r="N76" i="58" s="1"/>
  <c r="D80" i="58"/>
  <c r="Z27" i="8"/>
  <c r="T31" i="8"/>
  <c r="Z27" i="46"/>
  <c r="T31" i="46"/>
  <c r="T62" i="60"/>
  <c r="Z58" i="60"/>
  <c r="H82" i="92"/>
  <c r="L39" i="101"/>
  <c r="N39" i="101" s="1"/>
  <c r="D43" i="101"/>
  <c r="N67" i="69"/>
  <c r="H70" i="69"/>
  <c r="N70" i="69" s="1"/>
  <c r="T31" i="41"/>
  <c r="Z27" i="41"/>
  <c r="T96" i="24"/>
  <c r="V92" i="24"/>
  <c r="H74" i="80"/>
  <c r="P82" i="56"/>
  <c r="X78" i="56"/>
  <c r="Z78" i="56" s="1"/>
  <c r="D67" i="69"/>
  <c r="L63" i="69"/>
  <c r="D31" i="35"/>
  <c r="L27" i="35"/>
  <c r="F52" i="27"/>
  <c r="L33" i="55"/>
  <c r="N33" i="55" s="1"/>
  <c r="D37" i="55"/>
  <c r="L30" i="100"/>
  <c r="N30" i="100" s="1"/>
  <c r="D34" i="100"/>
  <c r="N27" i="31"/>
  <c r="H31" i="31"/>
  <c r="F40" i="84"/>
  <c r="T85" i="92"/>
  <c r="L86" i="107"/>
  <c r="N86" i="107" s="1"/>
  <c r="D90" i="107"/>
  <c r="N27" i="35"/>
  <c r="H31" i="35"/>
  <c r="L56" i="99"/>
  <c r="D60" i="99"/>
  <c r="Z27" i="10"/>
  <c r="T31" i="10"/>
  <c r="P31" i="20"/>
  <c r="X27" i="20"/>
  <c r="X27" i="44"/>
  <c r="P31" i="44"/>
  <c r="D74" i="72"/>
  <c r="L70" i="72"/>
  <c r="N70" i="72" s="1"/>
  <c r="H37" i="100"/>
  <c r="N27" i="19"/>
  <c r="H31" i="19"/>
  <c r="L86" i="91"/>
  <c r="N86" i="91" s="1"/>
  <c r="D89" i="91"/>
  <c r="D60" i="102"/>
  <c r="L56" i="102"/>
  <c r="N56" i="102" s="1"/>
  <c r="T32" i="85"/>
  <c r="V28" i="85"/>
  <c r="N27" i="37"/>
  <c r="H31" i="37"/>
  <c r="T73" i="59"/>
  <c r="T86" i="93"/>
  <c r="Z27" i="11"/>
  <c r="T31" i="11"/>
  <c r="D31" i="23"/>
  <c r="L27" i="23"/>
  <c r="D26" i="6"/>
  <c r="L22" i="6"/>
  <c r="H123" i="42"/>
  <c r="J119" i="42"/>
  <c r="D28" i="85"/>
  <c r="L20" i="85"/>
  <c r="N20" i="85" s="1"/>
  <c r="X27" i="110"/>
  <c r="P31" i="110"/>
  <c r="N27" i="110"/>
  <c r="H31" i="110"/>
  <c r="X27" i="35"/>
  <c r="P31" i="35"/>
  <c r="X27" i="40"/>
  <c r="P31" i="40"/>
  <c r="T103" i="63"/>
  <c r="N27" i="23"/>
  <c r="H31" i="23"/>
  <c r="F28" i="39"/>
  <c r="X76" i="58"/>
  <c r="Z76" i="58" s="1"/>
  <c r="P80" i="58"/>
  <c r="H31" i="25"/>
  <c r="N27" i="25"/>
  <c r="T31" i="31"/>
  <c r="Z27" i="31"/>
  <c r="X88" i="103"/>
  <c r="Z88" i="103" s="1"/>
  <c r="P92" i="103"/>
  <c r="R88" i="103"/>
  <c r="P82" i="92"/>
  <c r="X78" i="92"/>
  <c r="Z78" i="92" s="1"/>
  <c r="F26" i="33"/>
  <c r="P111" i="70"/>
  <c r="X51" i="70"/>
  <c r="Z51" i="70" s="1"/>
  <c r="L27" i="20"/>
  <c r="D31" i="20"/>
  <c r="F116" i="12"/>
  <c r="R76" i="74"/>
  <c r="H73" i="59"/>
  <c r="P64" i="61"/>
  <c r="X60" i="61"/>
  <c r="Z60" i="61" s="1"/>
  <c r="T74" i="80"/>
  <c r="Z70" i="80"/>
  <c r="X69" i="59"/>
  <c r="Z69" i="59" s="1"/>
  <c r="P73" i="59"/>
  <c r="L27" i="110"/>
  <c r="D31" i="110"/>
  <c r="H172" i="30"/>
  <c r="J169" i="30"/>
  <c r="H32" i="85"/>
  <c r="J28" i="85"/>
  <c r="X26" i="6"/>
  <c r="P31" i="6"/>
  <c r="X31" i="6" s="1"/>
  <c r="Z31" i="6" s="1"/>
  <c r="T151" i="74"/>
  <c r="V147" i="74"/>
  <c r="L82" i="94"/>
  <c r="N82" i="94" s="1"/>
  <c r="D85" i="94"/>
  <c r="L85" i="94" s="1"/>
  <c r="N27" i="32"/>
  <c r="H31" i="32"/>
  <c r="Z102" i="9"/>
  <c r="T106" i="9"/>
  <c r="L27" i="4"/>
  <c r="D31" i="4"/>
  <c r="D76" i="59"/>
  <c r="T28" i="108"/>
  <c r="Z24" i="108"/>
  <c r="X23" i="105"/>
  <c r="Z23" i="105" s="1"/>
  <c r="P95" i="105"/>
  <c r="L27" i="13"/>
  <c r="D31" i="13"/>
  <c r="J80" i="33"/>
  <c r="H84" i="33"/>
  <c r="P79" i="93"/>
  <c r="X19" i="93"/>
  <c r="P28" i="104"/>
  <c r="X24" i="104"/>
  <c r="N27" i="17"/>
  <c r="H31" i="17"/>
  <c r="X27" i="13"/>
  <c r="P31" i="13"/>
  <c r="P123" i="39"/>
  <c r="X28" i="39"/>
  <c r="Z28" i="39" s="1"/>
  <c r="H102" i="105"/>
  <c r="J99" i="105"/>
  <c r="Z27" i="112"/>
  <c r="T31" i="112"/>
  <c r="T104" i="76"/>
  <c r="V100" i="76"/>
  <c r="D53" i="82"/>
  <c r="L49" i="82"/>
  <c r="N49" i="82" s="1"/>
  <c r="F49" i="82"/>
  <c r="R26" i="75"/>
  <c r="H222" i="15"/>
  <c r="J218" i="15"/>
  <c r="T26" i="54"/>
  <c r="Z22" i="54"/>
  <c r="X96" i="95"/>
  <c r="Z96" i="95" s="1"/>
  <c r="P100" i="95"/>
  <c r="R96" i="95"/>
  <c r="T31" i="4"/>
  <c r="Z27" i="4"/>
  <c r="H31" i="41"/>
  <c r="N27" i="41"/>
  <c r="X99" i="63"/>
  <c r="Z99" i="63" s="1"/>
  <c r="P103" i="63"/>
  <c r="N56" i="99"/>
  <c r="H60" i="99"/>
  <c r="N27" i="38"/>
  <c r="H31" i="38"/>
  <c r="H84" i="75"/>
  <c r="J80" i="75"/>
  <c r="X27" i="46"/>
  <c r="P31" i="46"/>
  <c r="P43" i="101"/>
  <c r="X39" i="101"/>
  <c r="Z39" i="101" s="1"/>
  <c r="P88" i="83"/>
  <c r="X21" i="83"/>
  <c r="Z21" i="83" s="1"/>
  <c r="Z27" i="16"/>
  <c r="T31" i="16"/>
  <c r="Z27" i="40"/>
  <c r="T31" i="40"/>
  <c r="L80" i="75"/>
  <c r="N80" i="75" s="1"/>
  <c r="D84" i="75"/>
  <c r="F80" i="75"/>
  <c r="X27" i="25"/>
  <c r="P31" i="25"/>
  <c r="T34" i="100"/>
  <c r="Z30" i="100"/>
  <c r="P31" i="31"/>
  <c r="X27" i="31"/>
  <c r="N58" i="60"/>
  <c r="H62" i="60"/>
  <c r="Z27" i="22"/>
  <c r="T31" i="22"/>
  <c r="Z27" i="110"/>
  <c r="T31" i="110"/>
  <c r="D241" i="18"/>
  <c r="L134" i="18"/>
  <c r="N134" i="18" s="1"/>
  <c r="L69" i="59"/>
  <c r="N69" i="59" s="1"/>
  <c r="H53" i="82"/>
  <c r="J49" i="82"/>
  <c r="H89" i="91"/>
  <c r="L27" i="32"/>
  <c r="D31" i="32"/>
  <c r="Z27" i="7"/>
  <c r="T31" i="7"/>
  <c r="D31" i="46"/>
  <c r="L27" i="46"/>
  <c r="T89" i="91"/>
  <c r="N27" i="28"/>
  <c r="H31" i="28"/>
  <c r="N27" i="5"/>
  <c r="H31" i="5"/>
  <c r="P31" i="47"/>
  <c r="X27" i="47"/>
  <c r="R27" i="36"/>
  <c r="T83" i="58"/>
  <c r="X24" i="108"/>
  <c r="D78" i="92"/>
  <c r="L18" i="92"/>
  <c r="Z31" i="40" l="1"/>
  <c r="T36" i="40"/>
  <c r="Z36" i="40" s="1"/>
  <c r="H87" i="33"/>
  <c r="J84" i="33"/>
  <c r="L90" i="107"/>
  <c r="D93" i="107"/>
  <c r="N31" i="5"/>
  <c r="H36" i="5"/>
  <c r="N36" i="5" s="1"/>
  <c r="H65" i="60"/>
  <c r="T36" i="4"/>
  <c r="Z36" i="4" s="1"/>
  <c r="Z31" i="4"/>
  <c r="L53" i="82"/>
  <c r="D56" i="82"/>
  <c r="F53" i="82"/>
  <c r="X123" i="39"/>
  <c r="Z123" i="39" s="1"/>
  <c r="P127" i="39"/>
  <c r="R123" i="39"/>
  <c r="T109" i="9"/>
  <c r="P67" i="61"/>
  <c r="X64" i="61"/>
  <c r="Z31" i="11"/>
  <c r="T36" i="11"/>
  <c r="Z36" i="11" s="1"/>
  <c r="T35" i="85"/>
  <c r="V32" i="85"/>
  <c r="H77" i="80"/>
  <c r="D36" i="8"/>
  <c r="L31" i="8"/>
  <c r="X117" i="84"/>
  <c r="Z117" i="84" s="1"/>
  <c r="P121" i="84"/>
  <c r="R117" i="84"/>
  <c r="L31" i="31"/>
  <c r="D36" i="31"/>
  <c r="L74" i="80"/>
  <c r="N74" i="80" s="1"/>
  <c r="D77" i="80"/>
  <c r="L77" i="80" s="1"/>
  <c r="P245" i="18"/>
  <c r="X241" i="18"/>
  <c r="Z241" i="18" s="1"/>
  <c r="R241" i="18"/>
  <c r="X26" i="54"/>
  <c r="P31" i="54"/>
  <c r="J103" i="95"/>
  <c r="X62" i="60"/>
  <c r="P65" i="60"/>
  <c r="Z29" i="98"/>
  <c r="T32" i="98"/>
  <c r="Z32" i="98" s="1"/>
  <c r="P269" i="3"/>
  <c r="X264" i="3"/>
  <c r="R264" i="3"/>
  <c r="D36" i="25"/>
  <c r="L31" i="25"/>
  <c r="L31" i="47"/>
  <c r="D36" i="47"/>
  <c r="D36" i="26"/>
  <c r="L31" i="26"/>
  <c r="D103" i="95"/>
  <c r="L100" i="95"/>
  <c r="N100" i="95" s="1"/>
  <c r="F100" i="95"/>
  <c r="H83" i="58"/>
  <c r="X31" i="110"/>
  <c r="P36" i="110"/>
  <c r="D36" i="41"/>
  <c r="L31" i="41"/>
  <c r="H111" i="21"/>
  <c r="J108" i="21"/>
  <c r="N31" i="44"/>
  <c r="H36" i="44"/>
  <c r="N36" i="44" s="1"/>
  <c r="L31" i="17"/>
  <c r="D36" i="17"/>
  <c r="P36" i="41"/>
  <c r="X31" i="41"/>
  <c r="P90" i="87"/>
  <c r="X86" i="87"/>
  <c r="Z86" i="87" s="1"/>
  <c r="X31" i="112"/>
  <c r="P36" i="112"/>
  <c r="X31" i="16"/>
  <c r="P36" i="16"/>
  <c r="N31" i="28"/>
  <c r="H36" i="28"/>
  <c r="N36" i="28" s="1"/>
  <c r="X100" i="95"/>
  <c r="P103" i="95"/>
  <c r="R100" i="95"/>
  <c r="T107" i="76"/>
  <c r="V104" i="76"/>
  <c r="L31" i="13"/>
  <c r="D36" i="13"/>
  <c r="N31" i="32"/>
  <c r="H36" i="32"/>
  <c r="N36" i="32" s="1"/>
  <c r="L60" i="102"/>
  <c r="D63" i="102"/>
  <c r="P36" i="20"/>
  <c r="X31" i="20"/>
  <c r="D36" i="35"/>
  <c r="L31" i="35"/>
  <c r="Z31" i="46"/>
  <c r="T36" i="46"/>
  <c r="Z36" i="46" s="1"/>
  <c r="H107" i="51"/>
  <c r="J104" i="51"/>
  <c r="T40" i="55"/>
  <c r="Z37" i="55"/>
  <c r="T36" i="29"/>
  <c r="Z36" i="29" s="1"/>
  <c r="Z31" i="29"/>
  <c r="L75" i="48"/>
  <c r="D78" i="48"/>
  <c r="F75" i="48"/>
  <c r="J95" i="103"/>
  <c r="X31" i="52"/>
  <c r="P36" i="52"/>
  <c r="Z31" i="111"/>
  <c r="T36" i="111"/>
  <c r="Z36" i="111" s="1"/>
  <c r="L31" i="5"/>
  <c r="D36" i="5"/>
  <c r="H248" i="18"/>
  <c r="J245" i="18"/>
  <c r="N31" i="50"/>
  <c r="H36" i="50"/>
  <c r="N36" i="50" s="1"/>
  <c r="T107" i="51"/>
  <c r="V104" i="51"/>
  <c r="L28" i="104"/>
  <c r="D31" i="104"/>
  <c r="L106" i="9"/>
  <c r="D109" i="9"/>
  <c r="T80" i="57"/>
  <c r="L31" i="10"/>
  <c r="D36" i="10"/>
  <c r="P222" i="15"/>
  <c r="X218" i="15"/>
  <c r="Z218" i="15" s="1"/>
  <c r="R218" i="15"/>
  <c r="D134" i="36"/>
  <c r="L131" i="36"/>
  <c r="N131" i="36" s="1"/>
  <c r="F131" i="36"/>
  <c r="T85" i="56"/>
  <c r="D115" i="70"/>
  <c r="L111" i="70"/>
  <c r="N111" i="70" s="1"/>
  <c r="F111" i="70"/>
  <c r="H76" i="59"/>
  <c r="L99" i="105"/>
  <c r="N99" i="105" s="1"/>
  <c r="D102" i="105"/>
  <c r="F99" i="105"/>
  <c r="Z31" i="20"/>
  <c r="T36" i="20"/>
  <c r="Z36" i="20" s="1"/>
  <c r="N31" i="4"/>
  <c r="H36" i="4"/>
  <c r="N36" i="4" s="1"/>
  <c r="P169" i="30"/>
  <c r="X165" i="30"/>
  <c r="Z165" i="30" s="1"/>
  <c r="R165" i="30"/>
  <c r="D82" i="79"/>
  <c r="L78" i="79"/>
  <c r="N78" i="79" s="1"/>
  <c r="T78" i="109"/>
  <c r="V75" i="109"/>
  <c r="P36" i="31"/>
  <c r="X31" i="31"/>
  <c r="N31" i="38"/>
  <c r="H36" i="38"/>
  <c r="N36" i="38" s="1"/>
  <c r="N31" i="17"/>
  <c r="H36" i="17"/>
  <c r="N36" i="17" s="1"/>
  <c r="J172" i="30"/>
  <c r="X92" i="103"/>
  <c r="P95" i="103"/>
  <c r="R92" i="103"/>
  <c r="L89" i="91"/>
  <c r="N89" i="91" s="1"/>
  <c r="T99" i="24"/>
  <c r="V96" i="24"/>
  <c r="L31" i="11"/>
  <c r="D36" i="11"/>
  <c r="V93" i="107"/>
  <c r="N31" i="13"/>
  <c r="H36" i="13"/>
  <c r="N36" i="13" s="1"/>
  <c r="Z31" i="47"/>
  <c r="T36" i="47"/>
  <c r="Z36" i="47" s="1"/>
  <c r="Z31" i="52"/>
  <c r="T36" i="52"/>
  <c r="Z36" i="52" s="1"/>
  <c r="T36" i="38"/>
  <c r="Z36" i="38" s="1"/>
  <c r="Z31" i="38"/>
  <c r="H124" i="84"/>
  <c r="J121" i="84"/>
  <c r="D99" i="24"/>
  <c r="L96" i="24"/>
  <c r="N96" i="24" s="1"/>
  <c r="D36" i="111"/>
  <c r="L31" i="111"/>
  <c r="N31" i="112"/>
  <c r="H36" i="112"/>
  <c r="N36" i="112" s="1"/>
  <c r="N31" i="34"/>
  <c r="H36" i="34"/>
  <c r="N36" i="34" s="1"/>
  <c r="L29" i="98"/>
  <c r="D32" i="98"/>
  <c r="F29" i="98"/>
  <c r="H36" i="7"/>
  <c r="N36" i="7" s="1"/>
  <c r="N31" i="7"/>
  <c r="T95" i="103"/>
  <c r="Z92" i="103"/>
  <c r="V92" i="103"/>
  <c r="D36" i="29"/>
  <c r="L31" i="29"/>
  <c r="D116" i="27"/>
  <c r="L112" i="27"/>
  <c r="N112" i="27" s="1"/>
  <c r="F112" i="27"/>
  <c r="X31" i="34"/>
  <c r="P36" i="34"/>
  <c r="L218" i="15"/>
  <c r="N218" i="15" s="1"/>
  <c r="D222" i="15"/>
  <c r="F218" i="15"/>
  <c r="X31" i="38"/>
  <c r="P36" i="38"/>
  <c r="X31" i="22"/>
  <c r="P36" i="22"/>
  <c r="Z31" i="37"/>
  <c r="T36" i="37"/>
  <c r="Z36" i="37" s="1"/>
  <c r="Z64" i="61"/>
  <c r="T67" i="61"/>
  <c r="D36" i="43"/>
  <c r="L31" i="43"/>
  <c r="P74" i="72"/>
  <c r="X70" i="72"/>
  <c r="Z70" i="72" s="1"/>
  <c r="P109" i="9"/>
  <c r="X109" i="9" s="1"/>
  <c r="X106" i="9"/>
  <c r="Z106" i="9" s="1"/>
  <c r="N31" i="49"/>
  <c r="H36" i="49"/>
  <c r="N36" i="49" s="1"/>
  <c r="N103" i="63"/>
  <c r="H106" i="63"/>
  <c r="D36" i="22"/>
  <c r="L31" i="22"/>
  <c r="N53" i="82"/>
  <c r="H56" i="82"/>
  <c r="J53" i="82"/>
  <c r="P92" i="83"/>
  <c r="X88" i="83"/>
  <c r="Z88" i="83" s="1"/>
  <c r="Z31" i="112"/>
  <c r="T36" i="112"/>
  <c r="Z36" i="112" s="1"/>
  <c r="P99" i="105"/>
  <c r="X95" i="105"/>
  <c r="Z95" i="105" s="1"/>
  <c r="R95" i="105"/>
  <c r="T106" i="63"/>
  <c r="D32" i="85"/>
  <c r="L28" i="85"/>
  <c r="N28" i="85" s="1"/>
  <c r="N31" i="31"/>
  <c r="H36" i="31"/>
  <c r="N36" i="31" s="1"/>
  <c r="L67" i="69"/>
  <c r="D70" i="69"/>
  <c r="L70" i="69" s="1"/>
  <c r="Z31" i="8"/>
  <c r="T36" i="8"/>
  <c r="Z36" i="8" s="1"/>
  <c r="J77" i="72"/>
  <c r="N31" i="20"/>
  <c r="H36" i="20"/>
  <c r="N36" i="20" s="1"/>
  <c r="D95" i="83"/>
  <c r="L95" i="83" s="1"/>
  <c r="N95" i="83" s="1"/>
  <c r="L92" i="83"/>
  <c r="N92" i="83" s="1"/>
  <c r="R78" i="48"/>
  <c r="N90" i="107"/>
  <c r="H93" i="107"/>
  <c r="J90" i="107"/>
  <c r="P36" i="29"/>
  <c r="X31" i="29"/>
  <c r="Z31" i="13"/>
  <c r="T36" i="13"/>
  <c r="Z36" i="13" s="1"/>
  <c r="Z31" i="25"/>
  <c r="T36" i="25"/>
  <c r="Z36" i="25" s="1"/>
  <c r="P36" i="19"/>
  <c r="X31" i="19"/>
  <c r="N31" i="26"/>
  <c r="H36" i="26"/>
  <c r="N36" i="26" s="1"/>
  <c r="T87" i="33"/>
  <c r="V84" i="33"/>
  <c r="P88" i="97"/>
  <c r="X84" i="97"/>
  <c r="Z84" i="97" s="1"/>
  <c r="P32" i="98"/>
  <c r="X29" i="98"/>
  <c r="R29" i="98"/>
  <c r="P84" i="33"/>
  <c r="X80" i="33"/>
  <c r="Z80" i="33" s="1"/>
  <c r="R80" i="33"/>
  <c r="D36" i="38"/>
  <c r="L31" i="38"/>
  <c r="X31" i="7"/>
  <c r="P36" i="7"/>
  <c r="N31" i="22"/>
  <c r="H36" i="22"/>
  <c r="N36" i="22" s="1"/>
  <c r="D104" i="51"/>
  <c r="L100" i="51"/>
  <c r="N100" i="51" s="1"/>
  <c r="F100" i="51"/>
  <c r="L28" i="108"/>
  <c r="D31" i="108"/>
  <c r="L31" i="108" s="1"/>
  <c r="P37" i="100"/>
  <c r="X34" i="100"/>
  <c r="Z34" i="100" s="1"/>
  <c r="Z31" i="43"/>
  <c r="T36" i="43"/>
  <c r="Z36" i="43" s="1"/>
  <c r="X100" i="76"/>
  <c r="Z100" i="76" s="1"/>
  <c r="P104" i="76"/>
  <c r="R100" i="76"/>
  <c r="L31" i="14"/>
  <c r="D36" i="14"/>
  <c r="D82" i="92"/>
  <c r="L78" i="92"/>
  <c r="N78" i="92" s="1"/>
  <c r="T37" i="100"/>
  <c r="H63" i="99"/>
  <c r="Z26" i="54"/>
  <c r="T31" i="54"/>
  <c r="L31" i="110"/>
  <c r="D36" i="110"/>
  <c r="X31" i="40"/>
  <c r="P36" i="40"/>
  <c r="N31" i="19"/>
  <c r="H36" i="19"/>
  <c r="N36" i="19" s="1"/>
  <c r="Z31" i="10"/>
  <c r="T36" i="10"/>
  <c r="Z36" i="10" s="1"/>
  <c r="Z31" i="41"/>
  <c r="T36" i="41"/>
  <c r="Z36" i="41" s="1"/>
  <c r="X77" i="57"/>
  <c r="Z77" i="57" s="1"/>
  <c r="P80" i="57"/>
  <c r="D92" i="103"/>
  <c r="L88" i="103"/>
  <c r="N88" i="103" s="1"/>
  <c r="P85" i="94"/>
  <c r="X82" i="94"/>
  <c r="Z82" i="94" s="1"/>
  <c r="R82" i="94"/>
  <c r="N36" i="88"/>
  <c r="H39" i="88"/>
  <c r="N31" i="8"/>
  <c r="H36" i="8"/>
  <c r="N36" i="8" s="1"/>
  <c r="X31" i="43"/>
  <c r="P36" i="43"/>
  <c r="P96" i="68"/>
  <c r="X92" i="68"/>
  <c r="Z92" i="68" s="1"/>
  <c r="R92" i="68"/>
  <c r="L31" i="28"/>
  <c r="D36" i="28"/>
  <c r="Z31" i="50"/>
  <c r="T36" i="50"/>
  <c r="Z36" i="50" s="1"/>
  <c r="L264" i="3"/>
  <c r="D269" i="3"/>
  <c r="F264" i="3"/>
  <c r="D229" i="12"/>
  <c r="L225" i="12"/>
  <c r="N225" i="12" s="1"/>
  <c r="F225" i="12"/>
  <c r="Z31" i="44"/>
  <c r="T36" i="44"/>
  <c r="Z36" i="44" s="1"/>
  <c r="P90" i="107"/>
  <c r="X86" i="107"/>
  <c r="Z86" i="107" s="1"/>
  <c r="H36" i="14"/>
  <c r="N36" i="14" s="1"/>
  <c r="N31" i="14"/>
  <c r="V67" i="69"/>
  <c r="T70" i="69"/>
  <c r="X31" i="23"/>
  <c r="P36" i="23"/>
  <c r="T63" i="102"/>
  <c r="N31" i="16"/>
  <c r="H36" i="16"/>
  <c r="N36" i="16" s="1"/>
  <c r="X31" i="25"/>
  <c r="P36" i="25"/>
  <c r="T36" i="31"/>
  <c r="Z36" i="31" s="1"/>
  <c r="Z31" i="31"/>
  <c r="H126" i="42"/>
  <c r="J123" i="42"/>
  <c r="L34" i="100"/>
  <c r="N34" i="100" s="1"/>
  <c r="D37" i="100"/>
  <c r="L37" i="100" s="1"/>
  <c r="N75" i="48"/>
  <c r="J75" i="48"/>
  <c r="H78" i="48"/>
  <c r="D86" i="93"/>
  <c r="L83" i="93"/>
  <c r="N83" i="93" s="1"/>
  <c r="J118" i="70"/>
  <c r="Z31" i="14"/>
  <c r="T36" i="14"/>
  <c r="Z36" i="14" s="1"/>
  <c r="P84" i="75"/>
  <c r="X80" i="75"/>
  <c r="Z80" i="75" s="1"/>
  <c r="R80" i="75"/>
  <c r="N31" i="11"/>
  <c r="H36" i="11"/>
  <c r="N36" i="11" s="1"/>
  <c r="N31" i="52"/>
  <c r="H36" i="52"/>
  <c r="N36" i="52" s="1"/>
  <c r="N31" i="46"/>
  <c r="H36" i="46"/>
  <c r="N36" i="46" s="1"/>
  <c r="P63" i="99"/>
  <c r="X63" i="99" s="1"/>
  <c r="Z63" i="99" s="1"/>
  <c r="X60" i="99"/>
  <c r="Z60" i="99" s="1"/>
  <c r="X31" i="50"/>
  <c r="P36" i="50"/>
  <c r="P36" i="11"/>
  <c r="X31" i="11"/>
  <c r="L31" i="37"/>
  <c r="D36" i="37"/>
  <c r="T87" i="75"/>
  <c r="V84" i="75"/>
  <c r="T36" i="5"/>
  <c r="Z36" i="5" s="1"/>
  <c r="Z31" i="5"/>
  <c r="X60" i="102"/>
  <c r="Z60" i="102" s="1"/>
  <c r="P63" i="102"/>
  <c r="T56" i="82"/>
  <c r="V53" i="82"/>
  <c r="T126" i="42"/>
  <c r="V123" i="42"/>
  <c r="D151" i="74"/>
  <c r="L147" i="74"/>
  <c r="N147" i="74" s="1"/>
  <c r="F147" i="74"/>
  <c r="T77" i="72"/>
  <c r="V74" i="72"/>
  <c r="N85" i="56"/>
  <c r="H99" i="68"/>
  <c r="J96" i="68"/>
  <c r="L31" i="52"/>
  <c r="D36" i="52"/>
  <c r="L65" i="60"/>
  <c r="D96" i="68"/>
  <c r="L92" i="68"/>
  <c r="N92" i="68" s="1"/>
  <c r="H99" i="24"/>
  <c r="J96" i="24"/>
  <c r="V102" i="105"/>
  <c r="P36" i="49"/>
  <c r="X31" i="49"/>
  <c r="H36" i="29"/>
  <c r="N36" i="29" s="1"/>
  <c r="N31" i="29"/>
  <c r="N31" i="23"/>
  <c r="H36" i="23"/>
  <c r="N36" i="23" s="1"/>
  <c r="H108" i="45"/>
  <c r="J105" i="45"/>
  <c r="P46" i="101"/>
  <c r="X43" i="101"/>
  <c r="L31" i="46"/>
  <c r="D36" i="46"/>
  <c r="X31" i="46"/>
  <c r="P36" i="46"/>
  <c r="J102" i="105"/>
  <c r="T31" i="108"/>
  <c r="Z31" i="108" s="1"/>
  <c r="Z28" i="108"/>
  <c r="L31" i="20"/>
  <c r="D36" i="20"/>
  <c r="X31" i="35"/>
  <c r="P36" i="35"/>
  <c r="T76" i="59"/>
  <c r="L26" i="54"/>
  <c r="D31" i="54"/>
  <c r="L31" i="54" s="1"/>
  <c r="L31" i="44"/>
  <c r="D36" i="44"/>
  <c r="D36" i="40"/>
  <c r="L31" i="40"/>
  <c r="H36" i="40"/>
  <c r="N36" i="40" s="1"/>
  <c r="N31" i="40"/>
  <c r="L77" i="57"/>
  <c r="N77" i="57" s="1"/>
  <c r="D80" i="57"/>
  <c r="L80" i="57" s="1"/>
  <c r="X86" i="91"/>
  <c r="Z86" i="91" s="1"/>
  <c r="P89" i="91"/>
  <c r="X89" i="91" s="1"/>
  <c r="Z89" i="91" s="1"/>
  <c r="H86" i="93"/>
  <c r="Z75" i="48"/>
  <c r="T78" i="48"/>
  <c r="X78" i="48" s="1"/>
  <c r="V75" i="48"/>
  <c r="L62" i="60"/>
  <c r="N62" i="60" s="1"/>
  <c r="H232" i="12"/>
  <c r="J229" i="12"/>
  <c r="N31" i="53"/>
  <c r="H36" i="53"/>
  <c r="N36" i="53" s="1"/>
  <c r="X31" i="14"/>
  <c r="P36" i="14"/>
  <c r="Z31" i="16"/>
  <c r="T36" i="16"/>
  <c r="Z36" i="16" s="1"/>
  <c r="H35" i="85"/>
  <c r="J32" i="85"/>
  <c r="N26" i="6"/>
  <c r="H31" i="6"/>
  <c r="V99" i="68"/>
  <c r="X28" i="104"/>
  <c r="P31" i="104"/>
  <c r="D245" i="18"/>
  <c r="L241" i="18"/>
  <c r="N241" i="18" s="1"/>
  <c r="F241" i="18"/>
  <c r="P106" i="63"/>
  <c r="X106" i="63" s="1"/>
  <c r="X103" i="63"/>
  <c r="Z103" i="63" s="1"/>
  <c r="H225" i="15"/>
  <c r="J222" i="15"/>
  <c r="X73" i="59"/>
  <c r="Z73" i="59" s="1"/>
  <c r="P76" i="59"/>
  <c r="X76" i="59" s="1"/>
  <c r="N37" i="100"/>
  <c r="L60" i="99"/>
  <c r="N60" i="99" s="1"/>
  <c r="D63" i="99"/>
  <c r="L63" i="99" s="1"/>
  <c r="D93" i="87"/>
  <c r="L90" i="87"/>
  <c r="N90" i="87" s="1"/>
  <c r="L31" i="19"/>
  <c r="D36" i="19"/>
  <c r="Z31" i="7"/>
  <c r="T36" i="7"/>
  <c r="Z36" i="7" s="1"/>
  <c r="Z31" i="110"/>
  <c r="T36" i="110"/>
  <c r="Z36" i="110" s="1"/>
  <c r="X79" i="93"/>
  <c r="Z79" i="93" s="1"/>
  <c r="P83" i="93"/>
  <c r="L76" i="59"/>
  <c r="T154" i="74"/>
  <c r="V151" i="74"/>
  <c r="H36" i="25"/>
  <c r="N36" i="25" s="1"/>
  <c r="N31" i="25"/>
  <c r="N31" i="37"/>
  <c r="H36" i="37"/>
  <c r="N36" i="37" s="1"/>
  <c r="P85" i="56"/>
  <c r="X85" i="56" s="1"/>
  <c r="X82" i="56"/>
  <c r="Z82" i="56" s="1"/>
  <c r="L43" i="101"/>
  <c r="D46" i="101"/>
  <c r="L80" i="58"/>
  <c r="N80" i="58" s="1"/>
  <c r="D83" i="58"/>
  <c r="N106" i="9"/>
  <c r="H109" i="9"/>
  <c r="D107" i="76"/>
  <c r="L104" i="76"/>
  <c r="N104" i="76" s="1"/>
  <c r="F104" i="76"/>
  <c r="X31" i="37"/>
  <c r="P36" i="37"/>
  <c r="X40" i="55"/>
  <c r="X31" i="111"/>
  <c r="P36" i="111"/>
  <c r="P67" i="69"/>
  <c r="X63" i="69"/>
  <c r="Z63" i="69" s="1"/>
  <c r="P123" i="42"/>
  <c r="X119" i="42"/>
  <c r="Z119" i="42" s="1"/>
  <c r="R119" i="42"/>
  <c r="Z31" i="34"/>
  <c r="T36" i="34"/>
  <c r="Z36" i="34" s="1"/>
  <c r="T46" i="101"/>
  <c r="Z43" i="101"/>
  <c r="N264" i="3"/>
  <c r="H269" i="3"/>
  <c r="J264" i="3"/>
  <c r="D105" i="45"/>
  <c r="L101" i="45"/>
  <c r="N101" i="45" s="1"/>
  <c r="F101" i="45"/>
  <c r="T118" i="70"/>
  <c r="V115" i="70"/>
  <c r="N85" i="94"/>
  <c r="H36" i="111"/>
  <c r="N36" i="111" s="1"/>
  <c r="N31" i="111"/>
  <c r="H93" i="87"/>
  <c r="L82" i="56"/>
  <c r="N82" i="56" s="1"/>
  <c r="D85" i="56"/>
  <c r="L85" i="56" s="1"/>
  <c r="D36" i="34"/>
  <c r="L31" i="34"/>
  <c r="L75" i="109"/>
  <c r="N75" i="109" s="1"/>
  <c r="D78" i="109"/>
  <c r="F75" i="109"/>
  <c r="D127" i="39"/>
  <c r="L123" i="39"/>
  <c r="N123" i="39" s="1"/>
  <c r="F123" i="39"/>
  <c r="N31" i="10"/>
  <c r="H36" i="10"/>
  <c r="N36" i="10" s="1"/>
  <c r="N80" i="57"/>
  <c r="D169" i="30"/>
  <c r="L165" i="30"/>
  <c r="N165" i="30" s="1"/>
  <c r="F165" i="30"/>
  <c r="N31" i="54"/>
  <c r="L73" i="59"/>
  <c r="N73" i="59" s="1"/>
  <c r="N31" i="110"/>
  <c r="H36" i="110"/>
  <c r="N36" i="110" s="1"/>
  <c r="D31" i="6"/>
  <c r="L31" i="6" s="1"/>
  <c r="L26" i="6"/>
  <c r="N31" i="35"/>
  <c r="H36" i="35"/>
  <c r="N36" i="35" s="1"/>
  <c r="X31" i="53"/>
  <c r="P36" i="53"/>
  <c r="D36" i="112"/>
  <c r="L31" i="112"/>
  <c r="Z31" i="23"/>
  <c r="T36" i="23"/>
  <c r="Z36" i="23" s="1"/>
  <c r="H119" i="27"/>
  <c r="J116" i="27"/>
  <c r="Z100" i="95"/>
  <c r="T103" i="95"/>
  <c r="V100" i="95"/>
  <c r="D84" i="33"/>
  <c r="L80" i="33"/>
  <c r="N80" i="33" s="1"/>
  <c r="F80" i="33"/>
  <c r="N29" i="98"/>
  <c r="H32" i="98"/>
  <c r="N32" i="98" s="1"/>
  <c r="D36" i="16"/>
  <c r="L31" i="16"/>
  <c r="T108" i="45"/>
  <c r="V105" i="45"/>
  <c r="X49" i="82"/>
  <c r="Z49" i="82" s="1"/>
  <c r="P53" i="82"/>
  <c r="R49" i="82"/>
  <c r="X105" i="45"/>
  <c r="Z105" i="45" s="1"/>
  <c r="P108" i="45"/>
  <c r="R105" i="45"/>
  <c r="P131" i="36"/>
  <c r="X127" i="36"/>
  <c r="Z127" i="36" s="1"/>
  <c r="R127" i="36"/>
  <c r="H154" i="74"/>
  <c r="J151" i="74"/>
  <c r="T36" i="28"/>
  <c r="Z36" i="28" s="1"/>
  <c r="Z31" i="28"/>
  <c r="T269" i="3"/>
  <c r="Z264" i="3"/>
  <c r="V264" i="3"/>
  <c r="P36" i="5"/>
  <c r="X31" i="5"/>
  <c r="Z31" i="35"/>
  <c r="T36" i="35"/>
  <c r="Z36" i="35" s="1"/>
  <c r="D36" i="7"/>
  <c r="L31" i="7"/>
  <c r="Z31" i="32"/>
  <c r="T36" i="32"/>
  <c r="Z36" i="32" s="1"/>
  <c r="L31" i="49"/>
  <c r="D36" i="49"/>
  <c r="X31" i="28"/>
  <c r="P36" i="28"/>
  <c r="N31" i="47"/>
  <c r="H36" i="47"/>
  <c r="N36" i="47" s="1"/>
  <c r="X28" i="108"/>
  <c r="D111" i="21"/>
  <c r="L111" i="21" s="1"/>
  <c r="L108" i="21"/>
  <c r="N108" i="21" s="1"/>
  <c r="D88" i="97"/>
  <c r="L84" i="97"/>
  <c r="N84" i="97" s="1"/>
  <c r="X108" i="21"/>
  <c r="Z108" i="21" s="1"/>
  <c r="P111" i="21"/>
  <c r="R108" i="21"/>
  <c r="X28" i="85"/>
  <c r="Z28" i="85" s="1"/>
  <c r="P32" i="85"/>
  <c r="R28" i="85"/>
  <c r="X31" i="17"/>
  <c r="P36" i="17"/>
  <c r="X82" i="92"/>
  <c r="Z82" i="92" s="1"/>
  <c r="P85" i="92"/>
  <c r="X85" i="92" s="1"/>
  <c r="Z85" i="92" s="1"/>
  <c r="L84" i="75"/>
  <c r="N84" i="75" s="1"/>
  <c r="D87" i="75"/>
  <c r="F84" i="75"/>
  <c r="L31" i="32"/>
  <c r="D36" i="32"/>
  <c r="Z31" i="22"/>
  <c r="T36" i="22"/>
  <c r="Z36" i="22" s="1"/>
  <c r="H87" i="75"/>
  <c r="J84" i="75"/>
  <c r="N31" i="41"/>
  <c r="H36" i="41"/>
  <c r="N36" i="41" s="1"/>
  <c r="L31" i="4"/>
  <c r="D36" i="4"/>
  <c r="T77" i="80"/>
  <c r="Z74" i="80"/>
  <c r="X111" i="70"/>
  <c r="Z111" i="70" s="1"/>
  <c r="P115" i="70"/>
  <c r="R111" i="70"/>
  <c r="X80" i="58"/>
  <c r="Z80" i="58" s="1"/>
  <c r="P83" i="58"/>
  <c r="X83" i="58" s="1"/>
  <c r="Z83" i="58" s="1"/>
  <c r="L74" i="72"/>
  <c r="N74" i="72" s="1"/>
  <c r="D77" i="72"/>
  <c r="L77" i="72" s="1"/>
  <c r="N77" i="72" s="1"/>
  <c r="L37" i="55"/>
  <c r="N37" i="55" s="1"/>
  <c r="D40" i="55"/>
  <c r="L40" i="55" s="1"/>
  <c r="N40" i="55" s="1"/>
  <c r="T225" i="15"/>
  <c r="V222" i="15"/>
  <c r="T232" i="12"/>
  <c r="V229" i="12"/>
  <c r="Z31" i="17"/>
  <c r="T36" i="17"/>
  <c r="Z36" i="17" s="1"/>
  <c r="Z31" i="53"/>
  <c r="T36" i="53"/>
  <c r="Z36" i="53" s="1"/>
  <c r="X75" i="109"/>
  <c r="Z75" i="109" s="1"/>
  <c r="P78" i="109"/>
  <c r="R75" i="109"/>
  <c r="L119" i="42"/>
  <c r="N119" i="42" s="1"/>
  <c r="D123" i="42"/>
  <c r="F119" i="42"/>
  <c r="D121" i="84"/>
  <c r="L117" i="84"/>
  <c r="N117" i="84" s="1"/>
  <c r="F117" i="84"/>
  <c r="X31" i="8"/>
  <c r="P36" i="8"/>
  <c r="Z36" i="88"/>
  <c r="T39" i="88"/>
  <c r="N31" i="43"/>
  <c r="H36" i="43"/>
  <c r="N36" i="43" s="1"/>
  <c r="X31" i="26"/>
  <c r="P36" i="26"/>
  <c r="Z31" i="49"/>
  <c r="T36" i="49"/>
  <c r="Z36" i="49" s="1"/>
  <c r="N64" i="61"/>
  <c r="H67" i="61"/>
  <c r="L67" i="61" s="1"/>
  <c r="P77" i="80"/>
  <c r="X77" i="80" s="1"/>
  <c r="X74" i="80"/>
  <c r="T134" i="36"/>
  <c r="V131" i="36"/>
  <c r="X31" i="13"/>
  <c r="P36" i="13"/>
  <c r="Z62" i="60"/>
  <c r="T65" i="60"/>
  <c r="P36" i="47"/>
  <c r="X31" i="47"/>
  <c r="D36" i="23"/>
  <c r="L31" i="23"/>
  <c r="X31" i="44"/>
  <c r="P36" i="44"/>
  <c r="H85" i="92"/>
  <c r="V172" i="30"/>
  <c r="P36" i="32"/>
  <c r="X31" i="32"/>
  <c r="H46" i="101"/>
  <c r="N43" i="101"/>
  <c r="T248" i="18"/>
  <c r="V245" i="18"/>
  <c r="Z31" i="26"/>
  <c r="T36" i="26"/>
  <c r="Z36" i="26" s="1"/>
  <c r="T95" i="83"/>
  <c r="V92" i="83"/>
  <c r="H85" i="79"/>
  <c r="J82" i="79"/>
  <c r="X147" i="74"/>
  <c r="Z147" i="74" s="1"/>
  <c r="P151" i="74"/>
  <c r="R147" i="74"/>
  <c r="L31" i="50"/>
  <c r="D36" i="50"/>
  <c r="L31" i="53"/>
  <c r="D36" i="53"/>
  <c r="H91" i="97"/>
  <c r="T130" i="39"/>
  <c r="V127" i="39"/>
  <c r="X82" i="79"/>
  <c r="Z82" i="79" s="1"/>
  <c r="P85" i="79"/>
  <c r="R82" i="79"/>
  <c r="N60" i="102"/>
  <c r="H63" i="102"/>
  <c r="P96" i="24"/>
  <c r="X92" i="24"/>
  <c r="Z92" i="24" s="1"/>
  <c r="R92" i="24"/>
  <c r="Z28" i="104"/>
  <c r="T31" i="104"/>
  <c r="Z31" i="104" s="1"/>
  <c r="T36" i="19"/>
  <c r="Z36" i="19" s="1"/>
  <c r="Z31" i="19"/>
  <c r="P36" i="10"/>
  <c r="X31" i="10"/>
  <c r="N28" i="104"/>
  <c r="H31" i="104"/>
  <c r="N31" i="104" s="1"/>
  <c r="H78" i="109"/>
  <c r="J75" i="109"/>
  <c r="X104" i="51"/>
  <c r="Z104" i="51" s="1"/>
  <c r="P107" i="51"/>
  <c r="R104" i="51"/>
  <c r="P36" i="4"/>
  <c r="X31" i="4"/>
  <c r="X225" i="12"/>
  <c r="Z225" i="12" s="1"/>
  <c r="P229" i="12"/>
  <c r="R225" i="12"/>
  <c r="T124" i="84"/>
  <c r="V121" i="84"/>
  <c r="P116" i="27"/>
  <c r="X112" i="27"/>
  <c r="Z112" i="27" s="1"/>
  <c r="R112" i="27"/>
  <c r="L106" i="63"/>
  <c r="L99" i="24" l="1"/>
  <c r="X80" i="57"/>
  <c r="Z80" i="57" s="1"/>
  <c r="L93" i="87"/>
  <c r="L83" i="58"/>
  <c r="N83" i="58" s="1"/>
  <c r="X63" i="102"/>
  <c r="L36" i="32"/>
  <c r="X36" i="13"/>
  <c r="X36" i="111"/>
  <c r="L36" i="4"/>
  <c r="L36" i="53"/>
  <c r="X36" i="29"/>
  <c r="X36" i="40"/>
  <c r="X36" i="28"/>
  <c r="X36" i="25"/>
  <c r="L36" i="38"/>
  <c r="L36" i="46"/>
  <c r="X36" i="14"/>
  <c r="X36" i="4"/>
  <c r="L36" i="49"/>
  <c r="X36" i="8"/>
  <c r="X36" i="11"/>
  <c r="L36" i="23"/>
  <c r="X36" i="52"/>
  <c r="X36" i="37"/>
  <c r="X36" i="47"/>
  <c r="L36" i="112"/>
  <c r="L36" i="50"/>
  <c r="L36" i="40"/>
  <c r="L36" i="7"/>
  <c r="L36" i="44"/>
  <c r="X36" i="46"/>
  <c r="X36" i="26"/>
  <c r="X36" i="10"/>
  <c r="L36" i="16"/>
  <c r="X36" i="43"/>
  <c r="X36" i="44"/>
  <c r="L36" i="13"/>
  <c r="X36" i="50"/>
  <c r="X115" i="70"/>
  <c r="Z115" i="70" s="1"/>
  <c r="P118" i="70"/>
  <c r="R115" i="70"/>
  <c r="V130" i="39"/>
  <c r="Z77" i="80"/>
  <c r="L36" i="34"/>
  <c r="L107" i="76"/>
  <c r="N107" i="76" s="1"/>
  <c r="F107" i="76"/>
  <c r="L36" i="19"/>
  <c r="J225" i="15"/>
  <c r="L36" i="20"/>
  <c r="N99" i="24"/>
  <c r="J99" i="24"/>
  <c r="Z77" i="72"/>
  <c r="V77" i="72"/>
  <c r="L36" i="110"/>
  <c r="V107" i="76"/>
  <c r="X36" i="112"/>
  <c r="X67" i="61"/>
  <c r="V118" i="70"/>
  <c r="J85" i="79"/>
  <c r="X36" i="32"/>
  <c r="X31" i="108"/>
  <c r="X111" i="21"/>
  <c r="Z111" i="21" s="1"/>
  <c r="R111" i="21"/>
  <c r="J119" i="27"/>
  <c r="J232" i="12"/>
  <c r="Z63" i="102"/>
  <c r="P102" i="105"/>
  <c r="X99" i="105"/>
  <c r="Z99" i="105" s="1"/>
  <c r="R99" i="105"/>
  <c r="V99" i="24"/>
  <c r="L115" i="70"/>
  <c r="N115" i="70" s="1"/>
  <c r="D118" i="70"/>
  <c r="F115" i="70"/>
  <c r="N111" i="21"/>
  <c r="J111" i="21"/>
  <c r="L103" i="95"/>
  <c r="N103" i="95" s="1"/>
  <c r="F103" i="95"/>
  <c r="X269" i="3"/>
  <c r="R269" i="3"/>
  <c r="L36" i="8"/>
  <c r="Z109" i="9"/>
  <c r="X108" i="45"/>
  <c r="Z108" i="45" s="1"/>
  <c r="R108" i="45"/>
  <c r="L105" i="45"/>
  <c r="N105" i="45" s="1"/>
  <c r="D108" i="45"/>
  <c r="F105" i="45"/>
  <c r="X123" i="42"/>
  <c r="Z123" i="42" s="1"/>
  <c r="P126" i="42"/>
  <c r="R123" i="42"/>
  <c r="J35" i="85"/>
  <c r="J108" i="45"/>
  <c r="X104" i="76"/>
  <c r="Z104" i="76" s="1"/>
  <c r="P107" i="76"/>
  <c r="R104" i="76"/>
  <c r="L104" i="51"/>
  <c r="N104" i="51" s="1"/>
  <c r="D107" i="51"/>
  <c r="F104" i="51"/>
  <c r="L78" i="48"/>
  <c r="N78" i="48" s="1"/>
  <c r="F78" i="48"/>
  <c r="L36" i="35"/>
  <c r="P248" i="18"/>
  <c r="X245" i="18"/>
  <c r="Z245" i="18" s="1"/>
  <c r="R245" i="18"/>
  <c r="N77" i="80"/>
  <c r="D99" i="68"/>
  <c r="L99" i="68" s="1"/>
  <c r="N99" i="68" s="1"/>
  <c r="L96" i="68"/>
  <c r="N96" i="68" s="1"/>
  <c r="X36" i="23"/>
  <c r="X84" i="33"/>
  <c r="Z84" i="33" s="1"/>
  <c r="P87" i="33"/>
  <c r="R84" i="33"/>
  <c r="X36" i="19"/>
  <c r="X36" i="22"/>
  <c r="X36" i="31"/>
  <c r="Z85" i="56"/>
  <c r="J248" i="18"/>
  <c r="X103" i="95"/>
  <c r="Z103" i="95" s="1"/>
  <c r="R103" i="95"/>
  <c r="P93" i="87"/>
  <c r="X93" i="87" s="1"/>
  <c r="Z93" i="87" s="1"/>
  <c r="X90" i="87"/>
  <c r="Z90" i="87" s="1"/>
  <c r="Z269" i="3"/>
  <c r="V269" i="3"/>
  <c r="Z95" i="83"/>
  <c r="V95" i="83"/>
  <c r="L87" i="75"/>
  <c r="F87" i="75"/>
  <c r="P119" i="27"/>
  <c r="X116" i="27"/>
  <c r="Z116" i="27" s="1"/>
  <c r="R116" i="27"/>
  <c r="X67" i="69"/>
  <c r="Z67" i="69" s="1"/>
  <c r="P70" i="69"/>
  <c r="X70" i="69" s="1"/>
  <c r="Z70" i="69" s="1"/>
  <c r="Z78" i="48"/>
  <c r="V78" i="48"/>
  <c r="D154" i="74"/>
  <c r="L151" i="74"/>
  <c r="N151" i="74" s="1"/>
  <c r="F151" i="74"/>
  <c r="V87" i="75"/>
  <c r="N63" i="99"/>
  <c r="D119" i="27"/>
  <c r="L116" i="27"/>
  <c r="N116" i="27" s="1"/>
  <c r="F116" i="27"/>
  <c r="L36" i="111"/>
  <c r="L39" i="88"/>
  <c r="N39" i="88" s="1"/>
  <c r="X36" i="20"/>
  <c r="L36" i="41"/>
  <c r="X65" i="60"/>
  <c r="Z65" i="60" s="1"/>
  <c r="X127" i="39"/>
  <c r="Z127" i="39" s="1"/>
  <c r="P130" i="39"/>
  <c r="R127" i="39"/>
  <c r="L93" i="107"/>
  <c r="V154" i="74"/>
  <c r="L121" i="84"/>
  <c r="N121" i="84" s="1"/>
  <c r="D124" i="84"/>
  <c r="F121" i="84"/>
  <c r="L88" i="97"/>
  <c r="N88" i="97" s="1"/>
  <c r="D91" i="97"/>
  <c r="L91" i="97" s="1"/>
  <c r="J78" i="109"/>
  <c r="X96" i="24"/>
  <c r="Z96" i="24" s="1"/>
  <c r="P99" i="24"/>
  <c r="R96" i="24"/>
  <c r="X53" i="82"/>
  <c r="Z53" i="82" s="1"/>
  <c r="P56" i="82"/>
  <c r="R53" i="82"/>
  <c r="N93" i="87"/>
  <c r="L46" i="101"/>
  <c r="N46" i="101" s="1"/>
  <c r="X83" i="93"/>
  <c r="Z83" i="93" s="1"/>
  <c r="P86" i="93"/>
  <c r="X86" i="93" s="1"/>
  <c r="Z86" i="93" s="1"/>
  <c r="L36" i="52"/>
  <c r="J126" i="42"/>
  <c r="V70" i="69"/>
  <c r="L36" i="28"/>
  <c r="X36" i="7"/>
  <c r="X92" i="83"/>
  <c r="Z92" i="83" s="1"/>
  <c r="P95" i="83"/>
  <c r="X95" i="83" s="1"/>
  <c r="X36" i="38"/>
  <c r="L32" i="98"/>
  <c r="F32" i="98"/>
  <c r="V78" i="109"/>
  <c r="L109" i="9"/>
  <c r="N109" i="9" s="1"/>
  <c r="L36" i="5"/>
  <c r="L63" i="102"/>
  <c r="N63" i="102" s="1"/>
  <c r="X36" i="41"/>
  <c r="X36" i="110"/>
  <c r="L36" i="26"/>
  <c r="N91" i="97"/>
  <c r="V124" i="84"/>
  <c r="V134" i="36"/>
  <c r="J154" i="74"/>
  <c r="D87" i="33"/>
  <c r="L84" i="33"/>
  <c r="N84" i="33" s="1"/>
  <c r="F84" i="33"/>
  <c r="J269" i="3"/>
  <c r="V126" i="42"/>
  <c r="L36" i="37"/>
  <c r="X32" i="98"/>
  <c r="R32" i="98"/>
  <c r="P77" i="72"/>
  <c r="X77" i="72" s="1"/>
  <c r="X74" i="72"/>
  <c r="Z74" i="72" s="1"/>
  <c r="L36" i="29"/>
  <c r="X95" i="103"/>
  <c r="Z95" i="103" s="1"/>
  <c r="R95" i="103"/>
  <c r="L134" i="36"/>
  <c r="N134" i="36" s="1"/>
  <c r="F134" i="36"/>
  <c r="L36" i="17"/>
  <c r="L36" i="47"/>
  <c r="V35" i="85"/>
  <c r="X107" i="51"/>
  <c r="R107" i="51"/>
  <c r="L123" i="42"/>
  <c r="N123" i="42" s="1"/>
  <c r="D126" i="42"/>
  <c r="F123" i="42"/>
  <c r="L245" i="18"/>
  <c r="N245" i="18" s="1"/>
  <c r="D248" i="18"/>
  <c r="F245" i="18"/>
  <c r="D232" i="12"/>
  <c r="L229" i="12"/>
  <c r="N229" i="12" s="1"/>
  <c r="F229" i="12"/>
  <c r="X36" i="17"/>
  <c r="X36" i="53"/>
  <c r="D130" i="39"/>
  <c r="L127" i="39"/>
  <c r="N127" i="39" s="1"/>
  <c r="F127" i="39"/>
  <c r="X31" i="104"/>
  <c r="L86" i="93"/>
  <c r="N86" i="93" s="1"/>
  <c r="X85" i="94"/>
  <c r="Z85" i="94" s="1"/>
  <c r="R85" i="94"/>
  <c r="X37" i="100"/>
  <c r="Z37" i="100" s="1"/>
  <c r="J56" i="82"/>
  <c r="L102" i="105"/>
  <c r="N102" i="105" s="1"/>
  <c r="F102" i="105"/>
  <c r="L31" i="104"/>
  <c r="Z40" i="55"/>
  <c r="L36" i="31"/>
  <c r="L56" i="82"/>
  <c r="N56" i="82" s="1"/>
  <c r="F56" i="82"/>
  <c r="J87" i="33"/>
  <c r="V248" i="18"/>
  <c r="V232" i="12"/>
  <c r="N87" i="75"/>
  <c r="J87" i="75"/>
  <c r="V108" i="45"/>
  <c r="V103" i="95"/>
  <c r="Z76" i="59"/>
  <c r="X36" i="49"/>
  <c r="J99" i="68"/>
  <c r="X39" i="88"/>
  <c r="Z39" i="88" s="1"/>
  <c r="P91" i="97"/>
  <c r="X91" i="97" s="1"/>
  <c r="Z91" i="97" s="1"/>
  <c r="X88" i="97"/>
  <c r="Z88" i="97" s="1"/>
  <c r="L32" i="85"/>
  <c r="N32" i="85" s="1"/>
  <c r="D35" i="85"/>
  <c r="L35" i="85" s="1"/>
  <c r="N35" i="85" s="1"/>
  <c r="L222" i="15"/>
  <c r="N222" i="15" s="1"/>
  <c r="D225" i="15"/>
  <c r="F222" i="15"/>
  <c r="D85" i="79"/>
  <c r="L85" i="79" s="1"/>
  <c r="N85" i="79" s="1"/>
  <c r="L82" i="79"/>
  <c r="N82" i="79" s="1"/>
  <c r="X85" i="79"/>
  <c r="Z85" i="79" s="1"/>
  <c r="R85" i="79"/>
  <c r="X78" i="109"/>
  <c r="Z78" i="109" s="1"/>
  <c r="R78" i="109"/>
  <c r="L78" i="109"/>
  <c r="N78" i="109" s="1"/>
  <c r="F78" i="109"/>
  <c r="Z46" i="101"/>
  <c r="V56" i="82"/>
  <c r="J78" i="48"/>
  <c r="P99" i="68"/>
  <c r="X96" i="68"/>
  <c r="Z96" i="68" s="1"/>
  <c r="R96" i="68"/>
  <c r="D95" i="103"/>
  <c r="L95" i="103" s="1"/>
  <c r="N95" i="103" s="1"/>
  <c r="L92" i="103"/>
  <c r="N92" i="103" s="1"/>
  <c r="V95" i="103"/>
  <c r="J124" i="84"/>
  <c r="N76" i="59"/>
  <c r="X222" i="15"/>
  <c r="Z222" i="15" s="1"/>
  <c r="P225" i="15"/>
  <c r="R222" i="15"/>
  <c r="J107" i="51"/>
  <c r="L36" i="25"/>
  <c r="P232" i="12"/>
  <c r="X229" i="12"/>
  <c r="Z229" i="12" s="1"/>
  <c r="R229" i="12"/>
  <c r="P154" i="74"/>
  <c r="X151" i="74"/>
  <c r="Z151" i="74" s="1"/>
  <c r="R151" i="74"/>
  <c r="P134" i="36"/>
  <c r="X131" i="36"/>
  <c r="Z131" i="36" s="1"/>
  <c r="R131" i="36"/>
  <c r="X36" i="35"/>
  <c r="X84" i="75"/>
  <c r="Z84" i="75" s="1"/>
  <c r="P87" i="75"/>
  <c r="R84" i="75"/>
  <c r="L82" i="92"/>
  <c r="N82" i="92" s="1"/>
  <c r="D85" i="92"/>
  <c r="L85" i="92" s="1"/>
  <c r="N85" i="92" s="1"/>
  <c r="V87" i="33"/>
  <c r="Z106" i="63"/>
  <c r="L36" i="22"/>
  <c r="L36" i="43"/>
  <c r="X36" i="34"/>
  <c r="L36" i="11"/>
  <c r="L36" i="10"/>
  <c r="Z107" i="51"/>
  <c r="V107" i="51"/>
  <c r="X36" i="16"/>
  <c r="X31" i="54"/>
  <c r="Z31" i="54" s="1"/>
  <c r="P124" i="84"/>
  <c r="X121" i="84"/>
  <c r="Z121" i="84" s="1"/>
  <c r="R121" i="84"/>
  <c r="N67" i="61"/>
  <c r="V225" i="15"/>
  <c r="P35" i="85"/>
  <c r="X32" i="85"/>
  <c r="Z32" i="85" s="1"/>
  <c r="R32" i="85"/>
  <c r="X36" i="5"/>
  <c r="L169" i="30"/>
  <c r="N169" i="30" s="1"/>
  <c r="D172" i="30"/>
  <c r="F169" i="30"/>
  <c r="N31" i="6"/>
  <c r="X46" i="101"/>
  <c r="P93" i="107"/>
  <c r="X93" i="107" s="1"/>
  <c r="Z93" i="107" s="1"/>
  <c r="X90" i="107"/>
  <c r="Z90" i="107" s="1"/>
  <c r="L269" i="3"/>
  <c r="N269" i="3" s="1"/>
  <c r="F269" i="3"/>
  <c r="L36" i="14"/>
  <c r="N93" i="107"/>
  <c r="J93" i="107"/>
  <c r="N106" i="63"/>
  <c r="Z67" i="61"/>
  <c r="P172" i="30"/>
  <c r="X169" i="30"/>
  <c r="Z169" i="30" s="1"/>
  <c r="R169" i="30"/>
  <c r="N65" i="60"/>
  <c r="L172" i="30" l="1"/>
  <c r="N172" i="30" s="1"/>
  <c r="F172" i="30"/>
  <c r="X154" i="74"/>
  <c r="Z154" i="74" s="1"/>
  <c r="R154" i="74"/>
  <c r="L232" i="12"/>
  <c r="N232" i="12" s="1"/>
  <c r="F232" i="12"/>
  <c r="L118" i="70"/>
  <c r="N118" i="70" s="1"/>
  <c r="F118" i="70"/>
  <c r="X232" i="12"/>
  <c r="Z232" i="12" s="1"/>
  <c r="R232" i="12"/>
  <c r="L248" i="18"/>
  <c r="N248" i="18" s="1"/>
  <c r="F248" i="18"/>
  <c r="X248" i="18"/>
  <c r="Z248" i="18" s="1"/>
  <c r="R248" i="18"/>
  <c r="X87" i="75"/>
  <c r="Z87" i="75" s="1"/>
  <c r="R87" i="75"/>
  <c r="L154" i="74"/>
  <c r="N154" i="74" s="1"/>
  <c r="F154" i="74"/>
  <c r="X35" i="85"/>
  <c r="Z35" i="85" s="1"/>
  <c r="R35" i="85"/>
  <c r="L126" i="42"/>
  <c r="N126" i="42" s="1"/>
  <c r="F126" i="42"/>
  <c r="L124" i="84"/>
  <c r="N124" i="84" s="1"/>
  <c r="F124" i="84"/>
  <c r="X99" i="68"/>
  <c r="Z99" i="68" s="1"/>
  <c r="R99" i="68"/>
  <c r="X56" i="82"/>
  <c r="Z56" i="82" s="1"/>
  <c r="R56" i="82"/>
  <c r="X87" i="33"/>
  <c r="Z87" i="33" s="1"/>
  <c r="R87" i="33"/>
  <c r="L130" i="39"/>
  <c r="N130" i="39" s="1"/>
  <c r="F130" i="39"/>
  <c r="X225" i="15"/>
  <c r="Z225" i="15" s="1"/>
  <c r="R225" i="15"/>
  <c r="X134" i="36"/>
  <c r="Z134" i="36" s="1"/>
  <c r="R134" i="36"/>
  <c r="L87" i="33"/>
  <c r="N87" i="33" s="1"/>
  <c r="F87" i="33"/>
  <c r="L119" i="27"/>
  <c r="N119" i="27" s="1"/>
  <c r="F119" i="27"/>
  <c r="X102" i="105"/>
  <c r="Z102" i="105" s="1"/>
  <c r="R102" i="105"/>
  <c r="X172" i="30"/>
  <c r="Z172" i="30" s="1"/>
  <c r="R172" i="30"/>
  <c r="L107" i="51"/>
  <c r="N107" i="51" s="1"/>
  <c r="F107" i="51"/>
  <c r="X126" i="42"/>
  <c r="Z126" i="42" s="1"/>
  <c r="R126" i="42"/>
  <c r="X130" i="39"/>
  <c r="Z130" i="39" s="1"/>
  <c r="R130" i="39"/>
  <c r="X119" i="27"/>
  <c r="Z119" i="27" s="1"/>
  <c r="R119" i="27"/>
  <c r="L225" i="15"/>
  <c r="N225" i="15" s="1"/>
  <c r="F225" i="15"/>
  <c r="X99" i="24"/>
  <c r="Z99" i="24" s="1"/>
  <c r="R99" i="24"/>
  <c r="X107" i="76"/>
  <c r="Z107" i="76" s="1"/>
  <c r="R107" i="76"/>
  <c r="L108" i="45"/>
  <c r="N108" i="45" s="1"/>
  <c r="F108" i="45"/>
  <c r="X118" i="70"/>
  <c r="Z118" i="70" s="1"/>
  <c r="R118" i="70"/>
  <c r="X124" i="84"/>
  <c r="Z124" i="84" s="1"/>
  <c r="R124" i="84"/>
</calcChain>
</file>

<file path=xl/sharedStrings.xml><?xml version="1.0" encoding="utf-8"?>
<sst xmlns="http://schemas.openxmlformats.org/spreadsheetml/2006/main" count="2844" uniqueCount="315">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</sst>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49" fontId="1" fillId="0" borderId="0" xfId="0" applyNumberFormat="1" applyFont="1" applyFill="1"/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0" fontId="3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4" fillId="0" borderId="0" xfId="0" applyFont="1" applyFill="1"/>
    <xf numFmtId="0" fontId="0" fillId="0" borderId="0" xfId="0" applyBorder="1"/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306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306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74"/>
  <sheetViews>
    <sheetView tabSelected="1" zoomScale="80" workbookViewId="0">
      <pane xSplit="3" ySplit="10" topLeftCell="D145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395506.76000000018</v>
      </c>
      <c r="E12" s="4"/>
      <c r="F12" s="12"/>
      <c r="G12" s="4"/>
      <c r="H12" s="4">
        <f>SUM(OSRRefH13x_0)</f>
        <v>973030</v>
      </c>
      <c r="I12" s="4"/>
      <c r="J12" s="12"/>
      <c r="K12" s="4"/>
      <c r="L12" s="4">
        <f t="shared" ref="L12:L95" si="0">+D12-H12</f>
        <v>-577523.23999999976</v>
      </c>
      <c r="M12" s="4"/>
      <c r="N12" s="12">
        <f t="shared" ref="N12:N95" si="1">IF(H12=0,0,L12/H12)</f>
        <v>-0.59353076472462285</v>
      </c>
      <c r="O12" s="10"/>
      <c r="P12" s="4">
        <f>SUM(OSRRefP13x_0)</f>
        <v>4659384.22</v>
      </c>
      <c r="Q12" s="4"/>
      <c r="R12" s="12"/>
      <c r="S12" s="4"/>
      <c r="T12" s="4">
        <f>SUM(OSRRefT13x_0)</f>
        <v>7801848</v>
      </c>
      <c r="U12" s="4"/>
      <c r="V12" s="12"/>
      <c r="W12" s="4"/>
      <c r="X12" s="4">
        <f t="shared" ref="X12:X95" si="2">+P12-T12</f>
        <v>-3142463.7800000003</v>
      </c>
      <c r="Y12" s="4"/>
      <c r="Z12" s="12">
        <f t="shared" ref="Z12:Z95" si="3">IF(T12=0,0,X12/T12)</f>
        <v>-0.40278454284164472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-9680.35</f>
        <v>-9680.35</v>
      </c>
      <c r="E13" s="2"/>
      <c r="F13" s="22"/>
      <c r="G13" s="2"/>
      <c r="H13" s="2">
        <v>487775</v>
      </c>
      <c r="I13" s="2"/>
      <c r="J13" s="22"/>
      <c r="K13" s="2"/>
      <c r="L13" s="2">
        <f t="shared" si="0"/>
        <v>-497455.35</v>
      </c>
      <c r="M13" s="2"/>
      <c r="N13" s="22">
        <f t="shared" si="1"/>
        <v>-1.0198459330634</v>
      </c>
      <c r="O13" s="11"/>
      <c r="P13" s="2">
        <f>-59042.76</f>
        <v>-59042.76</v>
      </c>
      <c r="Q13" s="2"/>
      <c r="R13" s="22"/>
      <c r="S13" s="2"/>
      <c r="T13" s="2">
        <v>5600835</v>
      </c>
      <c r="U13" s="2"/>
      <c r="V13" s="22"/>
      <c r="W13" s="2"/>
      <c r="X13" s="2">
        <f t="shared" si="2"/>
        <v>-5659877.7599999998</v>
      </c>
      <c r="Y13" s="2"/>
      <c r="Z13" s="22">
        <f t="shared" si="3"/>
        <v>-1.0105417781455801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22"/>
      <c r="G14" s="2"/>
      <c r="H14" s="2"/>
      <c r="I14" s="2"/>
      <c r="J14" s="22"/>
      <c r="K14" s="2"/>
      <c r="L14" s="2">
        <f t="shared" si="0"/>
        <v>6816.45</v>
      </c>
      <c r="M14" s="2"/>
      <c r="N14" s="22">
        <f t="shared" si="1"/>
        <v>0</v>
      </c>
      <c r="O14" s="11"/>
      <c r="P14" s="2">
        <f>--719144.02</f>
        <v>719144.02</v>
      </c>
      <c r="Q14" s="2"/>
      <c r="R14" s="22"/>
      <c r="S14" s="2"/>
      <c r="T14" s="2"/>
      <c r="U14" s="2"/>
      <c r="V14" s="22"/>
      <c r="W14" s="2"/>
      <c r="X14" s="2">
        <f t="shared" si="2"/>
        <v>719144.02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22"/>
      <c r="G15" s="2"/>
      <c r="H15" s="2"/>
      <c r="I15" s="2"/>
      <c r="J15" s="22"/>
      <c r="K15" s="2"/>
      <c r="L15" s="2">
        <f t="shared" si="0"/>
        <v>1492.1</v>
      </c>
      <c r="M15" s="2"/>
      <c r="N15" s="22">
        <f t="shared" si="1"/>
        <v>0</v>
      </c>
      <c r="O15" s="11"/>
      <c r="P15" s="2">
        <f>--320631.62</f>
        <v>320631.62</v>
      </c>
      <c r="Q15" s="2"/>
      <c r="R15" s="22"/>
      <c r="S15" s="2"/>
      <c r="T15" s="2"/>
      <c r="U15" s="2"/>
      <c r="V15" s="22"/>
      <c r="W15" s="2"/>
      <c r="X15" s="2">
        <f t="shared" si="2"/>
        <v>320631.62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--18.37</f>
        <v>18.37</v>
      </c>
      <c r="E21" s="2"/>
      <c r="F21" s="22"/>
      <c r="G21" s="2"/>
      <c r="H21" s="2"/>
      <c r="I21" s="2"/>
      <c r="J21" s="22"/>
      <c r="K21" s="2"/>
      <c r="L21" s="2">
        <f t="shared" si="0"/>
        <v>18.37</v>
      </c>
      <c r="M21" s="2"/>
      <c r="N21" s="22">
        <f t="shared" si="1"/>
        <v>0</v>
      </c>
      <c r="O21" s="11"/>
      <c r="P21" s="2">
        <f>--297.2</f>
        <v>297.2</v>
      </c>
      <c r="Q21" s="2"/>
      <c r="R21" s="22"/>
      <c r="S21" s="2"/>
      <c r="T21" s="2"/>
      <c r="U21" s="2"/>
      <c r="V21" s="22"/>
      <c r="W21" s="2"/>
      <c r="X21" s="2">
        <f t="shared" si="2"/>
        <v>297.2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--1716.97</f>
        <v>1716.97</v>
      </c>
      <c r="E22" s="2"/>
      <c r="F22" s="22"/>
      <c r="G22" s="2"/>
      <c r="H22" s="2"/>
      <c r="I22" s="2"/>
      <c r="J22" s="22"/>
      <c r="K22" s="2"/>
      <c r="L22" s="2">
        <f t="shared" si="0"/>
        <v>1716.97</v>
      </c>
      <c r="M22" s="2"/>
      <c r="N22" s="22">
        <f t="shared" si="1"/>
        <v>0</v>
      </c>
      <c r="O22" s="11"/>
      <c r="P22" s="2">
        <f>--36720.47</f>
        <v>36720.47</v>
      </c>
      <c r="Q22" s="2"/>
      <c r="R22" s="22"/>
      <c r="S22" s="2"/>
      <c r="T22" s="2"/>
      <c r="U22" s="2"/>
      <c r="V22" s="22"/>
      <c r="W22" s="2"/>
      <c r="X22" s="2">
        <f t="shared" si="2"/>
        <v>36720.47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--1730.73</f>
        <v>1730.73</v>
      </c>
      <c r="E23" s="2"/>
      <c r="F23" s="22"/>
      <c r="G23" s="2"/>
      <c r="H23" s="2"/>
      <c r="I23" s="2"/>
      <c r="J23" s="22"/>
      <c r="K23" s="2"/>
      <c r="L23" s="2">
        <f t="shared" si="0"/>
        <v>1730.73</v>
      </c>
      <c r="M23" s="2"/>
      <c r="N23" s="22">
        <f t="shared" si="1"/>
        <v>0</v>
      </c>
      <c r="O23" s="11"/>
      <c r="P23" s="2">
        <f>--15999.58</f>
        <v>15999.58</v>
      </c>
      <c r="Q23" s="2"/>
      <c r="R23" s="22"/>
      <c r="S23" s="2"/>
      <c r="T23" s="2"/>
      <c r="U23" s="2"/>
      <c r="V23" s="22"/>
      <c r="W23" s="2"/>
      <c r="X23" s="2">
        <f t="shared" si="2"/>
        <v>15999.58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--194.65</f>
        <v>194.65</v>
      </c>
      <c r="E24" s="2"/>
      <c r="F24" s="22"/>
      <c r="G24" s="2"/>
      <c r="H24" s="2"/>
      <c r="I24" s="2"/>
      <c r="J24" s="22"/>
      <c r="K24" s="2"/>
      <c r="L24" s="2">
        <f t="shared" si="0"/>
        <v>194.65</v>
      </c>
      <c r="M24" s="2"/>
      <c r="N24" s="22">
        <f t="shared" si="1"/>
        <v>0</v>
      </c>
      <c r="O24" s="11"/>
      <c r="P24" s="2">
        <f>--1862.61</f>
        <v>1862.61</v>
      </c>
      <c r="Q24" s="2"/>
      <c r="R24" s="22"/>
      <c r="S24" s="2"/>
      <c r="T24" s="2"/>
      <c r="U24" s="2"/>
      <c r="V24" s="22"/>
      <c r="W24" s="2"/>
      <c r="X24" s="2">
        <f t="shared" si="2"/>
        <v>1862.61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6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6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--40927.79</f>
        <v>40927.79</v>
      </c>
      <c r="E27" s="2"/>
      <c r="F27" s="22"/>
      <c r="G27" s="2"/>
      <c r="H27" s="2"/>
      <c r="I27" s="2"/>
      <c r="J27" s="22"/>
      <c r="K27" s="2"/>
      <c r="L27" s="2">
        <f t="shared" si="0"/>
        <v>40927.79</v>
      </c>
      <c r="M27" s="2"/>
      <c r="N27" s="22">
        <f t="shared" si="1"/>
        <v>0</v>
      </c>
      <c r="O27" s="11"/>
      <c r="P27" s="2">
        <f>--423732.7</f>
        <v>423732.7</v>
      </c>
      <c r="Q27" s="2"/>
      <c r="R27" s="22"/>
      <c r="S27" s="2"/>
      <c r="T27" s="2"/>
      <c r="U27" s="2"/>
      <c r="V27" s="22"/>
      <c r="W27" s="2"/>
      <c r="X27" s="2">
        <f t="shared" si="2"/>
        <v>423732.7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--12313.27</f>
        <v>12313.27</v>
      </c>
      <c r="E28" s="2"/>
      <c r="F28" s="22"/>
      <c r="G28" s="2"/>
      <c r="H28" s="2"/>
      <c r="I28" s="2"/>
      <c r="J28" s="22"/>
      <c r="K28" s="2"/>
      <c r="L28" s="2">
        <f t="shared" si="0"/>
        <v>12313.27</v>
      </c>
      <c r="M28" s="2"/>
      <c r="N28" s="22">
        <f t="shared" si="1"/>
        <v>0</v>
      </c>
      <c r="O28" s="11"/>
      <c r="P28" s="2">
        <f>--165400.49</f>
        <v>165400.49</v>
      </c>
      <c r="Q28" s="2"/>
      <c r="R28" s="22"/>
      <c r="S28" s="2"/>
      <c r="T28" s="2"/>
      <c r="U28" s="2"/>
      <c r="V28" s="22"/>
      <c r="W28" s="2"/>
      <c r="X28" s="2">
        <f t="shared" si="2"/>
        <v>165400.49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--2095.44</f>
        <v>2095.44</v>
      </c>
      <c r="E29" s="2"/>
      <c r="F29" s="22"/>
      <c r="G29" s="2"/>
      <c r="H29" s="2"/>
      <c r="I29" s="2"/>
      <c r="J29" s="22"/>
      <c r="K29" s="2"/>
      <c r="L29" s="2">
        <f t="shared" si="0"/>
        <v>2095.44</v>
      </c>
      <c r="M29" s="2"/>
      <c r="N29" s="22">
        <f t="shared" si="1"/>
        <v>0</v>
      </c>
      <c r="O29" s="11"/>
      <c r="P29" s="2">
        <f>--56879.12</f>
        <v>56879.12</v>
      </c>
      <c r="Q29" s="2"/>
      <c r="R29" s="22"/>
      <c r="S29" s="2"/>
      <c r="T29" s="2"/>
      <c r="U29" s="2"/>
      <c r="V29" s="22"/>
      <c r="W29" s="2"/>
      <c r="X29" s="2">
        <f t="shared" si="2"/>
        <v>56879.12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--16932.18</f>
        <v>16932.18</v>
      </c>
      <c r="E30" s="2"/>
      <c r="F30" s="22"/>
      <c r="G30" s="2"/>
      <c r="H30" s="2"/>
      <c r="I30" s="2"/>
      <c r="J30" s="22"/>
      <c r="K30" s="2"/>
      <c r="L30" s="2">
        <f t="shared" si="0"/>
        <v>16932.18</v>
      </c>
      <c r="M30" s="2"/>
      <c r="N30" s="22">
        <f t="shared" si="1"/>
        <v>0</v>
      </c>
      <c r="O30" s="11"/>
      <c r="P30" s="2">
        <f>--57178.22</f>
        <v>57178.22</v>
      </c>
      <c r="Q30" s="2"/>
      <c r="R30" s="22"/>
      <c r="S30" s="2"/>
      <c r="T30" s="2"/>
      <c r="U30" s="2"/>
      <c r="V30" s="22"/>
      <c r="W30" s="2"/>
      <c r="X30" s="2">
        <f t="shared" si="2"/>
        <v>57178.22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--2517.35</f>
        <v>2517.35</v>
      </c>
      <c r="E31" s="2"/>
      <c r="F31" s="22"/>
      <c r="G31" s="2"/>
      <c r="H31" s="2"/>
      <c r="I31" s="2"/>
      <c r="J31" s="22"/>
      <c r="K31" s="2"/>
      <c r="L31" s="2">
        <f t="shared" si="0"/>
        <v>2517.35</v>
      </c>
      <c r="M31" s="2"/>
      <c r="N31" s="22">
        <f t="shared" si="1"/>
        <v>0</v>
      </c>
      <c r="O31" s="11"/>
      <c r="P31" s="2">
        <f>--15006.51</f>
        <v>15006.51</v>
      </c>
      <c r="Q31" s="2"/>
      <c r="R31" s="22"/>
      <c r="S31" s="2"/>
      <c r="T31" s="2"/>
      <c r="U31" s="2"/>
      <c r="V31" s="22"/>
      <c r="W31" s="2"/>
      <c r="X31" s="2">
        <f t="shared" si="2"/>
        <v>15006.51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--11255.56</f>
        <v>11255.56</v>
      </c>
      <c r="E32" s="2"/>
      <c r="F32" s="22"/>
      <c r="G32" s="2"/>
      <c r="H32" s="2"/>
      <c r="I32" s="2"/>
      <c r="J32" s="22"/>
      <c r="K32" s="2"/>
      <c r="L32" s="2">
        <f t="shared" si="0"/>
        <v>11255.56</v>
      </c>
      <c r="M32" s="2"/>
      <c r="N32" s="22">
        <f t="shared" si="1"/>
        <v>0</v>
      </c>
      <c r="O32" s="11"/>
      <c r="P32" s="2">
        <f>--108212.17</f>
        <v>108212.17</v>
      </c>
      <c r="Q32" s="2"/>
      <c r="R32" s="22"/>
      <c r="S32" s="2"/>
      <c r="T32" s="2"/>
      <c r="U32" s="2"/>
      <c r="V32" s="22"/>
      <c r="W32" s="2"/>
      <c r="X32" s="2">
        <f t="shared" si="2"/>
        <v>108212.17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--4501.27</f>
        <v>4501.2700000000004</v>
      </c>
      <c r="E33" s="2"/>
      <c r="F33" s="22"/>
      <c r="G33" s="2"/>
      <c r="H33" s="2"/>
      <c r="I33" s="2"/>
      <c r="J33" s="22"/>
      <c r="K33" s="2"/>
      <c r="L33" s="2">
        <f t="shared" si="0"/>
        <v>4501.2700000000004</v>
      </c>
      <c r="M33" s="2"/>
      <c r="N33" s="22">
        <f t="shared" si="1"/>
        <v>0</v>
      </c>
      <c r="O33" s="11"/>
      <c r="P33" s="2">
        <f>--17251.21</f>
        <v>17251.21</v>
      </c>
      <c r="Q33" s="2"/>
      <c r="R33" s="22"/>
      <c r="S33" s="2"/>
      <c r="T33" s="2"/>
      <c r="U33" s="2"/>
      <c r="V33" s="22"/>
      <c r="W33" s="2"/>
      <c r="X33" s="2">
        <f t="shared" si="2"/>
        <v>17251.21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"4052", " - ", "TAXABLE SALES-FOOD")</f>
        <v xml:space="preserve">          4052 - TAXABLE SALES-FOOD</v>
      </c>
      <c r="C34" s="11"/>
      <c r="D34" s="2">
        <f>--55493.87</f>
        <v>55493.87</v>
      </c>
      <c r="E34" s="2"/>
      <c r="F34" s="22"/>
      <c r="G34" s="2"/>
      <c r="H34" s="2"/>
      <c r="I34" s="2"/>
      <c r="J34" s="22"/>
      <c r="K34" s="2"/>
      <c r="L34" s="2">
        <f t="shared" si="0"/>
        <v>55493.87</v>
      </c>
      <c r="M34" s="2"/>
      <c r="N34" s="22">
        <f t="shared" si="1"/>
        <v>0</v>
      </c>
      <c r="O34" s="11"/>
      <c r="P34" s="2">
        <f>--85725.16</f>
        <v>85725.16</v>
      </c>
      <c r="Q34" s="2"/>
      <c r="R34" s="22"/>
      <c r="S34" s="2"/>
      <c r="T34" s="2"/>
      <c r="U34" s="2"/>
      <c r="V34" s="22"/>
      <c r="W34" s="2"/>
      <c r="X34" s="2">
        <f t="shared" si="2"/>
        <v>85725.16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"4053", " - ", "TAXABLE SALES-FOOD")</f>
        <v xml:space="preserve">          4053 - TAXABLE SALES-FOOD</v>
      </c>
      <c r="C35" s="11"/>
      <c r="D35" s="2">
        <f>--92.59</f>
        <v>92.59</v>
      </c>
      <c r="E35" s="2"/>
      <c r="F35" s="22"/>
      <c r="G35" s="2"/>
      <c r="H35" s="2"/>
      <c r="I35" s="2"/>
      <c r="J35" s="22"/>
      <c r="K35" s="2"/>
      <c r="L35" s="2">
        <f t="shared" si="0"/>
        <v>92.59</v>
      </c>
      <c r="M35" s="2"/>
      <c r="N35" s="22">
        <f t="shared" si="1"/>
        <v>0</v>
      </c>
      <c r="O35" s="11"/>
      <c r="P35" s="2">
        <f>--495.03</f>
        <v>495.03</v>
      </c>
      <c r="Q35" s="2"/>
      <c r="R35" s="22"/>
      <c r="S35" s="2"/>
      <c r="T35" s="2"/>
      <c r="U35" s="2"/>
      <c r="V35" s="22"/>
      <c r="W35" s="2"/>
      <c r="X35" s="2">
        <f t="shared" si="2"/>
        <v>495.03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22"/>
      <c r="G36" s="2"/>
      <c r="H36" s="2"/>
      <c r="I36" s="2"/>
      <c r="J36" s="22"/>
      <c r="K36" s="2"/>
      <c r="L36" s="2">
        <f t="shared" si="0"/>
        <v>0</v>
      </c>
      <c r="M36" s="2"/>
      <c r="N36" s="22">
        <f t="shared" si="1"/>
        <v>0</v>
      </c>
      <c r="O36" s="11"/>
      <c r="P36" s="2">
        <f>--974.91</f>
        <v>974.91</v>
      </c>
      <c r="Q36" s="2"/>
      <c r="R36" s="22"/>
      <c r="S36" s="2"/>
      <c r="T36" s="2"/>
      <c r="U36" s="2"/>
      <c r="V36" s="22"/>
      <c r="W36" s="2"/>
      <c r="X36" s="2">
        <f t="shared" si="2"/>
        <v>974.91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"4081", " - ", "TAXABLE SALES-ELECTRONICS")</f>
        <v xml:space="preserve">          4081 - TAXABLE SALES-ELECTRONICS</v>
      </c>
      <c r="C37" s="11"/>
      <c r="D37" s="2">
        <f>--973.93</f>
        <v>973.93</v>
      </c>
      <c r="E37" s="2"/>
      <c r="F37" s="22"/>
      <c r="G37" s="2"/>
      <c r="H37" s="2"/>
      <c r="I37" s="2"/>
      <c r="J37" s="22"/>
      <c r="K37" s="2"/>
      <c r="L37" s="2">
        <f t="shared" si="0"/>
        <v>973.93</v>
      </c>
      <c r="M37" s="2"/>
      <c r="N37" s="22">
        <f t="shared" si="1"/>
        <v>0</v>
      </c>
      <c r="O37" s="11"/>
      <c r="P37" s="2">
        <f>--56091.22</f>
        <v>56091.22</v>
      </c>
      <c r="Q37" s="2"/>
      <c r="R37" s="22"/>
      <c r="S37" s="2"/>
      <c r="T37" s="2"/>
      <c r="U37" s="2"/>
      <c r="V37" s="22"/>
      <c r="W37" s="2"/>
      <c r="X37" s="2">
        <f t="shared" si="2"/>
        <v>56091.22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--57494.9</f>
        <v>57494.9</v>
      </c>
      <c r="E38" s="2"/>
      <c r="F38" s="22"/>
      <c r="G38" s="2"/>
      <c r="H38" s="2"/>
      <c r="I38" s="2"/>
      <c r="J38" s="22"/>
      <c r="K38" s="2"/>
      <c r="L38" s="2">
        <f t="shared" si="0"/>
        <v>57494.9</v>
      </c>
      <c r="M38" s="2"/>
      <c r="N38" s="22">
        <f t="shared" si="1"/>
        <v>0</v>
      </c>
      <c r="O38" s="11"/>
      <c r="P38" s="2">
        <f>--949594.89</f>
        <v>949594.89</v>
      </c>
      <c r="Q38" s="2"/>
      <c r="R38" s="22"/>
      <c r="S38" s="2"/>
      <c r="T38" s="2"/>
      <c r="U38" s="2"/>
      <c r="V38" s="22"/>
      <c r="W38" s="2"/>
      <c r="X38" s="2">
        <f t="shared" si="2"/>
        <v>949594.89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--4805.85</f>
        <v>4805.8500000000004</v>
      </c>
      <c r="E39" s="2"/>
      <c r="F39" s="22"/>
      <c r="G39" s="2"/>
      <c r="H39" s="2"/>
      <c r="I39" s="2"/>
      <c r="J39" s="22"/>
      <c r="K39" s="2"/>
      <c r="L39" s="2">
        <f t="shared" si="0"/>
        <v>4805.8500000000004</v>
      </c>
      <c r="M39" s="2"/>
      <c r="N39" s="22">
        <f t="shared" si="1"/>
        <v>0</v>
      </c>
      <c r="O39" s="11"/>
      <c r="P39" s="2">
        <f>--76860.94</f>
        <v>76860.94</v>
      </c>
      <c r="Q39" s="2"/>
      <c r="R39" s="22"/>
      <c r="S39" s="2"/>
      <c r="T39" s="2"/>
      <c r="U39" s="2"/>
      <c r="V39" s="22"/>
      <c r="W39" s="2"/>
      <c r="X39" s="2">
        <f t="shared" si="2"/>
        <v>76860.94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"4085", " - ", "TAXABLE SALES-SOFTWARE")</f>
        <v xml:space="preserve">          4085 - TAXABLE SALES-SOFTWARE</v>
      </c>
      <c r="C40" s="11"/>
      <c r="D40" s="2">
        <f>--378.99</f>
        <v>378.99</v>
      </c>
      <c r="E40" s="2"/>
      <c r="F40" s="22"/>
      <c r="G40" s="2"/>
      <c r="H40" s="2"/>
      <c r="I40" s="2"/>
      <c r="J40" s="22"/>
      <c r="K40" s="2"/>
      <c r="L40" s="2">
        <f t="shared" si="0"/>
        <v>378.99</v>
      </c>
      <c r="M40" s="2"/>
      <c r="N40" s="22">
        <f t="shared" si="1"/>
        <v>0</v>
      </c>
      <c r="O40" s="11"/>
      <c r="P40" s="2">
        <f>--1499.95</f>
        <v>1499.95</v>
      </c>
      <c r="Q40" s="2"/>
      <c r="R40" s="22"/>
      <c r="S40" s="2"/>
      <c r="T40" s="2"/>
      <c r="U40" s="2"/>
      <c r="V40" s="22"/>
      <c r="W40" s="2"/>
      <c r="X40" s="2">
        <f t="shared" si="2"/>
        <v>1499.95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--260.94</f>
        <v>260.94</v>
      </c>
      <c r="E41" s="2"/>
      <c r="F41" s="22"/>
      <c r="G41" s="2"/>
      <c r="H41" s="2"/>
      <c r="I41" s="2"/>
      <c r="J41" s="22"/>
      <c r="K41" s="2"/>
      <c r="L41" s="2">
        <f t="shared" si="0"/>
        <v>260.94</v>
      </c>
      <c r="M41" s="2"/>
      <c r="N41" s="22">
        <f t="shared" si="1"/>
        <v>0</v>
      </c>
      <c r="O41" s="11"/>
      <c r="P41" s="2">
        <f>--29627.6</f>
        <v>29627.599999999999</v>
      </c>
      <c r="Q41" s="2"/>
      <c r="R41" s="22"/>
      <c r="S41" s="2"/>
      <c r="T41" s="2"/>
      <c r="U41" s="2"/>
      <c r="V41" s="22"/>
      <c r="W41" s="2"/>
      <c r="X41" s="2">
        <f t="shared" si="2"/>
        <v>29627.599999999999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"4100", " - ", "NON-TAXABLE SALES")</f>
        <v xml:space="preserve">          4100 - NON-TAXABLE SALES</v>
      </c>
      <c r="C42" s="11"/>
      <c r="D42" s="2">
        <f>--54175.61</f>
        <v>54175.61</v>
      </c>
      <c r="E42" s="2"/>
      <c r="F42" s="22"/>
      <c r="G42" s="2"/>
      <c r="H42" s="2">
        <v>485254.99999999994</v>
      </c>
      <c r="I42" s="2"/>
      <c r="J42" s="22"/>
      <c r="K42" s="2"/>
      <c r="L42" s="2">
        <f t="shared" si="0"/>
        <v>-431079.38999999996</v>
      </c>
      <c r="M42" s="2"/>
      <c r="N42" s="22">
        <f t="shared" si="1"/>
        <v>-0.88835641054703196</v>
      </c>
      <c r="O42" s="11"/>
      <c r="P42" s="2">
        <f>--488260.42</f>
        <v>488260.42</v>
      </c>
      <c r="Q42" s="2"/>
      <c r="R42" s="22"/>
      <c r="S42" s="2"/>
      <c r="T42" s="2">
        <v>2201013</v>
      </c>
      <c r="U42" s="2"/>
      <c r="V42" s="22"/>
      <c r="W42" s="2"/>
      <c r="X42" s="2">
        <f t="shared" si="2"/>
        <v>-1712752.58</v>
      </c>
      <c r="Y42" s="2"/>
      <c r="Z42" s="22">
        <f t="shared" si="3"/>
        <v>-0.77816559011691433</v>
      </c>
    </row>
    <row r="43" spans="1:26" s="24" customFormat="1" hidden="1" outlineLevel="1" x14ac:dyDescent="0.25">
      <c r="A43" s="51"/>
      <c r="B43" s="11" t="str">
        <f>CONCATENATE("          ", "4101", " - ", "NON-TAXABLE SALES-NEW TEXT")</f>
        <v xml:space="preserve">          4101 - NON-TAXABLE SALES-NEW TEXT</v>
      </c>
      <c r="C43" s="11"/>
      <c r="D43" s="2">
        <f>--1270.83</f>
        <v>1270.83</v>
      </c>
      <c r="E43" s="2"/>
      <c r="F43" s="22"/>
      <c r="G43" s="2"/>
      <c r="H43" s="2"/>
      <c r="I43" s="2"/>
      <c r="J43" s="22"/>
      <c r="K43" s="2"/>
      <c r="L43" s="2">
        <f t="shared" si="0"/>
        <v>1270.83</v>
      </c>
      <c r="M43" s="2"/>
      <c r="N43" s="22">
        <f t="shared" si="1"/>
        <v>0</v>
      </c>
      <c r="O43" s="11"/>
      <c r="P43" s="2">
        <f>--78935.72</f>
        <v>78935.72</v>
      </c>
      <c r="Q43" s="2"/>
      <c r="R43" s="22"/>
      <c r="S43" s="2"/>
      <c r="T43" s="2"/>
      <c r="U43" s="2"/>
      <c r="V43" s="22"/>
      <c r="W43" s="2"/>
      <c r="X43" s="2">
        <f t="shared" si="2"/>
        <v>78935.72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"4102", " - ", "NON-TAXABLE SALES-USED TEXT")</f>
        <v xml:space="preserve">          4102 - NON-TAXABLE SALES-USED TEXT</v>
      </c>
      <c r="C44" s="11"/>
      <c r="D44" s="2">
        <f>--320.72</f>
        <v>320.72000000000003</v>
      </c>
      <c r="E44" s="2"/>
      <c r="F44" s="22"/>
      <c r="G44" s="2"/>
      <c r="H44" s="2"/>
      <c r="I44" s="2"/>
      <c r="J44" s="22"/>
      <c r="K44" s="2"/>
      <c r="L44" s="2">
        <f t="shared" si="0"/>
        <v>320.72000000000003</v>
      </c>
      <c r="M44" s="2"/>
      <c r="N44" s="22">
        <f t="shared" si="1"/>
        <v>0</v>
      </c>
      <c r="O44" s="11"/>
      <c r="P44" s="2">
        <f>--33033.19</f>
        <v>33033.19</v>
      </c>
      <c r="Q44" s="2"/>
      <c r="R44" s="22"/>
      <c r="S44" s="2"/>
      <c r="T44" s="2"/>
      <c r="U44" s="2"/>
      <c r="V44" s="22"/>
      <c r="W44" s="2"/>
      <c r="X44" s="2">
        <f t="shared" si="2"/>
        <v>33033.19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--284.97</f>
        <v>284.97000000000003</v>
      </c>
      <c r="Q45" s="2"/>
      <c r="R45" s="22"/>
      <c r="S45" s="2"/>
      <c r="T45" s="2"/>
      <c r="U45" s="2"/>
      <c r="V45" s="22"/>
      <c r="W45" s="2"/>
      <c r="X45" s="2">
        <f t="shared" si="2"/>
        <v>284.97000000000003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>--1414.19</f>
        <v>1414.19</v>
      </c>
      <c r="E46" s="2"/>
      <c r="F46" s="22"/>
      <c r="G46" s="2"/>
      <c r="H46" s="2"/>
      <c r="I46" s="2"/>
      <c r="J46" s="22"/>
      <c r="K46" s="2"/>
      <c r="L46" s="2">
        <f t="shared" si="0"/>
        <v>1414.19</v>
      </c>
      <c r="M46" s="2"/>
      <c r="N46" s="22">
        <f t="shared" si="1"/>
        <v>0</v>
      </c>
      <c r="O46" s="11"/>
      <c r="P46" s="2">
        <f>--294889.71</f>
        <v>294889.71000000002</v>
      </c>
      <c r="Q46" s="2"/>
      <c r="R46" s="22"/>
      <c r="S46" s="2"/>
      <c r="T46" s="2"/>
      <c r="U46" s="2"/>
      <c r="V46" s="22"/>
      <c r="W46" s="2"/>
      <c r="X46" s="2">
        <f t="shared" si="2"/>
        <v>294889.71000000002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>--630</f>
        <v>630</v>
      </c>
      <c r="E47" s="2"/>
      <c r="F47" s="22"/>
      <c r="G47" s="2"/>
      <c r="H47" s="2"/>
      <c r="I47" s="2"/>
      <c r="J47" s="22"/>
      <c r="K47" s="2"/>
      <c r="L47" s="2">
        <f t="shared" si="0"/>
        <v>630</v>
      </c>
      <c r="M47" s="2"/>
      <c r="N47" s="22">
        <f t="shared" si="1"/>
        <v>0</v>
      </c>
      <c r="O47" s="11"/>
      <c r="P47" s="2">
        <f>--2285.95</f>
        <v>2285.9499999999998</v>
      </c>
      <c r="Q47" s="2"/>
      <c r="R47" s="22"/>
      <c r="S47" s="2"/>
      <c r="T47" s="2"/>
      <c r="U47" s="2"/>
      <c r="V47" s="22"/>
      <c r="W47" s="2"/>
      <c r="X47" s="2">
        <f t="shared" si="2"/>
        <v>2285.9499999999998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>--27.8</f>
        <v>27.8</v>
      </c>
      <c r="E48" s="2"/>
      <c r="F48" s="22"/>
      <c r="G48" s="2"/>
      <c r="H48" s="2"/>
      <c r="I48" s="2"/>
      <c r="J48" s="22"/>
      <c r="K48" s="2"/>
      <c r="L48" s="2">
        <f t="shared" si="0"/>
        <v>27.8</v>
      </c>
      <c r="M48" s="2"/>
      <c r="N48" s="22">
        <f t="shared" si="1"/>
        <v>0</v>
      </c>
      <c r="O48" s="11"/>
      <c r="P48" s="2">
        <f>--233.43</f>
        <v>233.43</v>
      </c>
      <c r="Q48" s="2"/>
      <c r="R48" s="22"/>
      <c r="S48" s="2"/>
      <c r="T48" s="2"/>
      <c r="U48" s="2"/>
      <c r="V48" s="22"/>
      <c r="W48" s="2"/>
      <c r="X48" s="2">
        <f t="shared" si="2"/>
        <v>233.43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--52.68</f>
        <v>52.68</v>
      </c>
      <c r="Q49" s="2"/>
      <c r="R49" s="22"/>
      <c r="S49" s="2"/>
      <c r="T49" s="2"/>
      <c r="U49" s="2"/>
      <c r="V49" s="22"/>
      <c r="W49" s="2"/>
      <c r="X49" s="2">
        <f t="shared" si="2"/>
        <v>52.68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>--114.89</f>
        <v>114.89</v>
      </c>
      <c r="E50" s="2"/>
      <c r="F50" s="22"/>
      <c r="G50" s="2"/>
      <c r="H50" s="2"/>
      <c r="I50" s="2"/>
      <c r="J50" s="22"/>
      <c r="K50" s="2"/>
      <c r="L50" s="2">
        <f t="shared" si="0"/>
        <v>114.89</v>
      </c>
      <c r="M50" s="2"/>
      <c r="N50" s="22">
        <f t="shared" si="1"/>
        <v>0</v>
      </c>
      <c r="O50" s="11"/>
      <c r="P50" s="2">
        <f>--2946.58</f>
        <v>2946.58</v>
      </c>
      <c r="Q50" s="2"/>
      <c r="R50" s="22"/>
      <c r="S50" s="2"/>
      <c r="T50" s="2"/>
      <c r="U50" s="2"/>
      <c r="V50" s="22"/>
      <c r="W50" s="2"/>
      <c r="X50" s="2">
        <f t="shared" si="2"/>
        <v>2946.58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"4128", " - ", "NON-TAXABLE SALES-ART/TECH")</f>
        <v xml:space="preserve">          4128 - NON-TAXABLE SALES-ART/TECH</v>
      </c>
      <c r="C51" s="11"/>
      <c r="D51" s="2">
        <f>--24.78</f>
        <v>24.78</v>
      </c>
      <c r="E51" s="2"/>
      <c r="F51" s="22"/>
      <c r="G51" s="2"/>
      <c r="H51" s="2"/>
      <c r="I51" s="2"/>
      <c r="J51" s="22"/>
      <c r="K51" s="2"/>
      <c r="L51" s="2">
        <f t="shared" si="0"/>
        <v>24.78</v>
      </c>
      <c r="M51" s="2"/>
      <c r="N51" s="22">
        <f t="shared" si="1"/>
        <v>0</v>
      </c>
      <c r="O51" s="11"/>
      <c r="P51" s="2">
        <f>--24.78</f>
        <v>24.78</v>
      </c>
      <c r="Q51" s="2"/>
      <c r="R51" s="22"/>
      <c r="S51" s="2"/>
      <c r="T51" s="2"/>
      <c r="U51" s="2"/>
      <c r="V51" s="22"/>
      <c r="W51" s="2"/>
      <c r="X51" s="2">
        <f t="shared" si="2"/>
        <v>24.78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"4131", " - ", "NON-TAXABLE SALES-FOOD")</f>
        <v xml:space="preserve">          4131 - NON-TAXABLE SALES-FOOD</v>
      </c>
      <c r="C52" s="11"/>
      <c r="D52" s="2">
        <f>--983.89</f>
        <v>983.89</v>
      </c>
      <c r="E52" s="2"/>
      <c r="F52" s="22"/>
      <c r="G52" s="2"/>
      <c r="H52" s="2"/>
      <c r="I52" s="2"/>
      <c r="J52" s="22"/>
      <c r="K52" s="2"/>
      <c r="L52" s="2">
        <f t="shared" si="0"/>
        <v>983.89</v>
      </c>
      <c r="M52" s="2"/>
      <c r="N52" s="22">
        <f t="shared" si="1"/>
        <v>0</v>
      </c>
      <c r="O52" s="11"/>
      <c r="P52" s="2">
        <f>--6509.33</f>
        <v>6509.33</v>
      </c>
      <c r="Q52" s="2"/>
      <c r="R52" s="22"/>
      <c r="S52" s="2"/>
      <c r="T52" s="2"/>
      <c r="U52" s="2"/>
      <c r="V52" s="22"/>
      <c r="W52" s="2"/>
      <c r="X52" s="2">
        <f t="shared" si="2"/>
        <v>6509.33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ref="D53:D56" si="7"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--2054.37</f>
        <v>2054.37</v>
      </c>
      <c r="Q53" s="2"/>
      <c r="R53" s="22"/>
      <c r="S53" s="2"/>
      <c r="T53" s="2"/>
      <c r="U53" s="2"/>
      <c r="V53" s="22"/>
      <c r="W53" s="2"/>
      <c r="X53" s="2">
        <f t="shared" si="2"/>
        <v>2054.37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7"/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--80.71</f>
        <v>80.709999999999994</v>
      </c>
      <c r="Q54" s="2"/>
      <c r="R54" s="22"/>
      <c r="S54" s="2"/>
      <c r="T54" s="2"/>
      <c r="U54" s="2"/>
      <c r="V54" s="22"/>
      <c r="W54" s="2"/>
      <c r="X54" s="2">
        <f t="shared" si="2"/>
        <v>80.709999999999994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7"/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--45.53</f>
        <v>45.53</v>
      </c>
      <c r="Q55" s="2"/>
      <c r="R55" s="22"/>
      <c r="S55" s="2"/>
      <c r="T55" s="2"/>
      <c r="U55" s="2"/>
      <c r="V55" s="22"/>
      <c r="W55" s="2"/>
      <c r="X55" s="2">
        <f t="shared" si="2"/>
        <v>45.53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7"/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--68.25</f>
        <v>68.25</v>
      </c>
      <c r="Q56" s="2"/>
      <c r="R56" s="22"/>
      <c r="S56" s="2"/>
      <c r="T56" s="2"/>
      <c r="U56" s="2"/>
      <c r="V56" s="22"/>
      <c r="W56" s="2"/>
      <c r="X56" s="2">
        <f t="shared" si="2"/>
        <v>68.25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>--19704.79</f>
        <v>19704.79</v>
      </c>
      <c r="E57" s="2"/>
      <c r="F57" s="22"/>
      <c r="G57" s="2"/>
      <c r="H57" s="2"/>
      <c r="I57" s="2"/>
      <c r="J57" s="22"/>
      <c r="K57" s="2"/>
      <c r="L57" s="2">
        <f t="shared" si="0"/>
        <v>19704.79</v>
      </c>
      <c r="M57" s="2"/>
      <c r="N57" s="22">
        <f t="shared" si="1"/>
        <v>0</v>
      </c>
      <c r="O57" s="11"/>
      <c r="P57" s="2">
        <f>--50320.27</f>
        <v>50320.27</v>
      </c>
      <c r="Q57" s="2"/>
      <c r="R57" s="22"/>
      <c r="S57" s="2"/>
      <c r="T57" s="2"/>
      <c r="U57" s="2"/>
      <c r="V57" s="22"/>
      <c r="W57" s="2"/>
      <c r="X57" s="2">
        <f t="shared" si="2"/>
        <v>50320.27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"4141", " - ", "NON-TAXABLE SALES-LOGO GIFTS")</f>
        <v xml:space="preserve">          4141 - NON-TAXABLE SALES-LOGO GIFTS</v>
      </c>
      <c r="C58" s="11"/>
      <c r="D58" s="2">
        <f>--806.32</f>
        <v>806.32</v>
      </c>
      <c r="E58" s="2"/>
      <c r="F58" s="22"/>
      <c r="G58" s="2"/>
      <c r="H58" s="2"/>
      <c r="I58" s="2"/>
      <c r="J58" s="22"/>
      <c r="K58" s="2"/>
      <c r="L58" s="2">
        <f t="shared" si="0"/>
        <v>806.32</v>
      </c>
      <c r="M58" s="2"/>
      <c r="N58" s="22">
        <f t="shared" si="1"/>
        <v>0</v>
      </c>
      <c r="O58" s="11"/>
      <c r="P58" s="2">
        <f>--4189.02</f>
        <v>4189.0200000000004</v>
      </c>
      <c r="Q58" s="2"/>
      <c r="R58" s="22"/>
      <c r="S58" s="2"/>
      <c r="T58" s="2"/>
      <c r="U58" s="2"/>
      <c r="V58" s="22"/>
      <c r="W58" s="2"/>
      <c r="X58" s="2">
        <f t="shared" si="2"/>
        <v>4189.0200000000004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>--887.78</f>
        <v>887.78</v>
      </c>
      <c r="E59" s="2"/>
      <c r="F59" s="22"/>
      <c r="G59" s="2"/>
      <c r="H59" s="2"/>
      <c r="I59" s="2"/>
      <c r="J59" s="22"/>
      <c r="K59" s="2"/>
      <c r="L59" s="2">
        <f t="shared" si="0"/>
        <v>887.78</v>
      </c>
      <c r="M59" s="2"/>
      <c r="N59" s="22">
        <f t="shared" si="1"/>
        <v>0</v>
      </c>
      <c r="O59" s="11"/>
      <c r="P59" s="2">
        <f>--2208.19</f>
        <v>2208.19</v>
      </c>
      <c r="Q59" s="2"/>
      <c r="R59" s="22"/>
      <c r="S59" s="2"/>
      <c r="T59" s="2"/>
      <c r="U59" s="2"/>
      <c r="V59" s="22"/>
      <c r="W59" s="2"/>
      <c r="X59" s="2">
        <f t="shared" si="2"/>
        <v>2208.19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"4143", " - ", "NON-TAXABLE SALES-CARDS")</f>
        <v xml:space="preserve">          4143 - NON-TAXABLE SALES-CARDS</v>
      </c>
      <c r="C60" s="11"/>
      <c r="D60" s="2">
        <f>--9.99</f>
        <v>9.99</v>
      </c>
      <c r="E60" s="2"/>
      <c r="F60" s="22"/>
      <c r="G60" s="2"/>
      <c r="H60" s="2"/>
      <c r="I60" s="2"/>
      <c r="J60" s="22"/>
      <c r="K60" s="2"/>
      <c r="L60" s="2">
        <f t="shared" si="0"/>
        <v>9.99</v>
      </c>
      <c r="M60" s="2"/>
      <c r="N60" s="22">
        <f t="shared" si="1"/>
        <v>0</v>
      </c>
      <c r="O60" s="11"/>
      <c r="P60" s="2">
        <f>--39.96</f>
        <v>39.96</v>
      </c>
      <c r="Q60" s="2"/>
      <c r="R60" s="22"/>
      <c r="S60" s="2"/>
      <c r="T60" s="2"/>
      <c r="U60" s="2"/>
      <c r="V60" s="22"/>
      <c r="W60" s="2"/>
      <c r="X60" s="2">
        <f t="shared" si="2"/>
        <v>39.96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>--19.95</f>
        <v>19.95</v>
      </c>
      <c r="E61" s="2"/>
      <c r="F61" s="22"/>
      <c r="G61" s="2"/>
      <c r="H61" s="2"/>
      <c r="I61" s="2"/>
      <c r="J61" s="22"/>
      <c r="K61" s="2"/>
      <c r="L61" s="2">
        <f t="shared" si="0"/>
        <v>19.95</v>
      </c>
      <c r="M61" s="2"/>
      <c r="N61" s="22">
        <f t="shared" si="1"/>
        <v>0</v>
      </c>
      <c r="O61" s="11"/>
      <c r="P61" s="2">
        <f>--389.7</f>
        <v>389.7</v>
      </c>
      <c r="Q61" s="2"/>
      <c r="R61" s="22"/>
      <c r="S61" s="2"/>
      <c r="T61" s="2"/>
      <c r="U61" s="2"/>
      <c r="V61" s="22"/>
      <c r="W61" s="2"/>
      <c r="X61" s="2">
        <f t="shared" si="2"/>
        <v>389.7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>--2800</f>
        <v>2800</v>
      </c>
      <c r="E62" s="2"/>
      <c r="F62" s="22"/>
      <c r="G62" s="2"/>
      <c r="H62" s="2"/>
      <c r="I62" s="2"/>
      <c r="J62" s="22"/>
      <c r="K62" s="2"/>
      <c r="L62" s="2">
        <f t="shared" si="0"/>
        <v>2800</v>
      </c>
      <c r="M62" s="2"/>
      <c r="N62" s="22">
        <f t="shared" si="1"/>
        <v>0</v>
      </c>
      <c r="O62" s="11"/>
      <c r="P62" s="2">
        <f>--38646</f>
        <v>38646</v>
      </c>
      <c r="Q62" s="2"/>
      <c r="R62" s="22"/>
      <c r="S62" s="2"/>
      <c r="T62" s="2"/>
      <c r="U62" s="2"/>
      <c r="V62" s="22"/>
      <c r="W62" s="2"/>
      <c r="X62" s="2">
        <f t="shared" si="2"/>
        <v>38646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>--21.5</f>
        <v>21.5</v>
      </c>
      <c r="E63" s="2"/>
      <c r="F63" s="22"/>
      <c r="G63" s="2"/>
      <c r="H63" s="2"/>
      <c r="I63" s="2"/>
      <c r="J63" s="22"/>
      <c r="K63" s="2"/>
      <c r="L63" s="2">
        <f t="shared" si="0"/>
        <v>21.5</v>
      </c>
      <c r="M63" s="2"/>
      <c r="N63" s="22">
        <f t="shared" si="1"/>
        <v>0</v>
      </c>
      <c r="O63" s="11"/>
      <c r="P63" s="2">
        <f>--108</f>
        <v>108</v>
      </c>
      <c r="Q63" s="2"/>
      <c r="R63" s="22"/>
      <c r="S63" s="2"/>
      <c r="T63" s="2"/>
      <c r="U63" s="2"/>
      <c r="V63" s="22"/>
      <c r="W63" s="2"/>
      <c r="X63" s="2">
        <f t="shared" si="2"/>
        <v>108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"4147", " - ", "NON-TAXABLE SALES-MISC")</f>
        <v xml:space="preserve">          4147 - NON-TAXABLE SALES-MISC</v>
      </c>
      <c r="C64" s="11"/>
      <c r="D64" s="2">
        <f>--5</f>
        <v>5</v>
      </c>
      <c r="E64" s="2"/>
      <c r="F64" s="22"/>
      <c r="G64" s="2"/>
      <c r="H64" s="2"/>
      <c r="I64" s="2"/>
      <c r="J64" s="22"/>
      <c r="K64" s="2"/>
      <c r="L64" s="2">
        <f t="shared" si="0"/>
        <v>5</v>
      </c>
      <c r="M64" s="2"/>
      <c r="N64" s="22">
        <f t="shared" si="1"/>
        <v>0</v>
      </c>
      <c r="O64" s="11"/>
      <c r="P64" s="2">
        <f>--91.5</f>
        <v>91.5</v>
      </c>
      <c r="Q64" s="2"/>
      <c r="R64" s="22"/>
      <c r="S64" s="2"/>
      <c r="T64" s="2"/>
      <c r="U64" s="2"/>
      <c r="V64" s="22"/>
      <c r="W64" s="2"/>
      <c r="X64" s="2">
        <f t="shared" si="2"/>
        <v>91.5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"4151", " - ", "NON-TAXABLE SALES-FOOD")</f>
        <v xml:space="preserve">          4151 - NON-TAXABLE SALES-FOOD</v>
      </c>
      <c r="C65" s="11"/>
      <c r="D65" s="2">
        <f>--101465.72</f>
        <v>101465.72</v>
      </c>
      <c r="E65" s="2"/>
      <c r="F65" s="22"/>
      <c r="G65" s="2"/>
      <c r="H65" s="2"/>
      <c r="I65" s="2"/>
      <c r="J65" s="22"/>
      <c r="K65" s="2"/>
      <c r="L65" s="2">
        <f t="shared" si="0"/>
        <v>101465.72</v>
      </c>
      <c r="M65" s="2"/>
      <c r="N65" s="22">
        <f t="shared" si="1"/>
        <v>0</v>
      </c>
      <c r="O65" s="11"/>
      <c r="P65" s="2">
        <f>--542894.76</f>
        <v>542894.76</v>
      </c>
      <c r="Q65" s="2"/>
      <c r="R65" s="22"/>
      <c r="S65" s="2"/>
      <c r="T65" s="2"/>
      <c r="U65" s="2"/>
      <c r="V65" s="22"/>
      <c r="W65" s="2"/>
      <c r="X65" s="2">
        <f t="shared" si="2"/>
        <v>542894.76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"4153", " - ", "NON-TAXABLE SALES-FOOD")</f>
        <v xml:space="preserve">          4153 - NON-TAXABLE SALES-FOOD</v>
      </c>
      <c r="C66" s="11"/>
      <c r="D66" s="2">
        <f>--10357.28</f>
        <v>10357.280000000001</v>
      </c>
      <c r="E66" s="2"/>
      <c r="F66" s="22"/>
      <c r="G66" s="2"/>
      <c r="H66" s="2"/>
      <c r="I66" s="2"/>
      <c r="J66" s="22"/>
      <c r="K66" s="2"/>
      <c r="L66" s="2">
        <f t="shared" si="0"/>
        <v>10357.280000000001</v>
      </c>
      <c r="M66" s="2"/>
      <c r="N66" s="22">
        <f t="shared" si="1"/>
        <v>0</v>
      </c>
      <c r="O66" s="11"/>
      <c r="P66" s="2">
        <f>--26233.86</f>
        <v>26233.86</v>
      </c>
      <c r="Q66" s="2"/>
      <c r="R66" s="22"/>
      <c r="S66" s="2"/>
      <c r="T66" s="2"/>
      <c r="U66" s="2"/>
      <c r="V66" s="22"/>
      <c r="W66" s="2"/>
      <c r="X66" s="2">
        <f t="shared" si="2"/>
        <v>26233.86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>--29.99</f>
        <v>29.99</v>
      </c>
      <c r="E67" s="2"/>
      <c r="F67" s="22"/>
      <c r="G67" s="2"/>
      <c r="H67" s="2"/>
      <c r="I67" s="2"/>
      <c r="J67" s="22"/>
      <c r="K67" s="2"/>
      <c r="L67" s="2">
        <f t="shared" si="0"/>
        <v>29.99</v>
      </c>
      <c r="M67" s="2"/>
      <c r="N67" s="22">
        <f t="shared" si="1"/>
        <v>0</v>
      </c>
      <c r="O67" s="11"/>
      <c r="P67" s="2">
        <f>--3534.12</f>
        <v>3534.12</v>
      </c>
      <c r="Q67" s="2"/>
      <c r="R67" s="22"/>
      <c r="S67" s="2"/>
      <c r="T67" s="2"/>
      <c r="U67" s="2"/>
      <c r="V67" s="22"/>
      <c r="W67" s="2"/>
      <c r="X67" s="2">
        <f t="shared" si="2"/>
        <v>3534.12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>--9499.97</f>
        <v>9499.9699999999993</v>
      </c>
      <c r="E68" s="2"/>
      <c r="F68" s="22"/>
      <c r="G68" s="2"/>
      <c r="H68" s="2"/>
      <c r="I68" s="2"/>
      <c r="J68" s="22"/>
      <c r="K68" s="2"/>
      <c r="L68" s="2">
        <f t="shared" si="0"/>
        <v>9499.9699999999993</v>
      </c>
      <c r="M68" s="2"/>
      <c r="N68" s="22">
        <f t="shared" si="1"/>
        <v>0</v>
      </c>
      <c r="O68" s="11"/>
      <c r="P68" s="2">
        <f>--154794.35</f>
        <v>154794.35</v>
      </c>
      <c r="Q68" s="2"/>
      <c r="R68" s="22"/>
      <c r="S68" s="2"/>
      <c r="T68" s="2"/>
      <c r="U68" s="2"/>
      <c r="V68" s="22"/>
      <c r="W68" s="2"/>
      <c r="X68" s="2">
        <f t="shared" si="2"/>
        <v>154794.35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>--1033.89</f>
        <v>1033.8900000000001</v>
      </c>
      <c r="E69" s="2"/>
      <c r="F69" s="22"/>
      <c r="G69" s="2"/>
      <c r="H69" s="2"/>
      <c r="I69" s="2"/>
      <c r="J69" s="22"/>
      <c r="K69" s="2"/>
      <c r="L69" s="2">
        <f t="shared" si="0"/>
        <v>1033.8900000000001</v>
      </c>
      <c r="M69" s="2"/>
      <c r="N69" s="22">
        <f t="shared" si="1"/>
        <v>0</v>
      </c>
      <c r="O69" s="11"/>
      <c r="P69" s="2">
        <f>--7370.28</f>
        <v>7370.28</v>
      </c>
      <c r="Q69" s="2"/>
      <c r="R69" s="22"/>
      <c r="S69" s="2"/>
      <c r="T69" s="2"/>
      <c r="U69" s="2"/>
      <c r="V69" s="22"/>
      <c r="W69" s="2"/>
      <c r="X69" s="2">
        <f t="shared" si="2"/>
        <v>7370.28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"4185", " - ", "NON-TAXABLE SALES-SOFTWARE")</f>
        <v xml:space="preserve">          4185 - NON-TAXABLE SALES-SOFTWARE</v>
      </c>
      <c r="C70" s="11"/>
      <c r="D70" s="2">
        <f>--1989.89</f>
        <v>1989.89</v>
      </c>
      <c r="E70" s="2"/>
      <c r="F70" s="22"/>
      <c r="G70" s="2"/>
      <c r="H70" s="2"/>
      <c r="I70" s="2"/>
      <c r="J70" s="22"/>
      <c r="K70" s="2"/>
      <c r="L70" s="2">
        <f t="shared" si="0"/>
        <v>1989.89</v>
      </c>
      <c r="M70" s="2"/>
      <c r="N70" s="22">
        <f t="shared" si="1"/>
        <v>0</v>
      </c>
      <c r="O70" s="11"/>
      <c r="P70" s="2">
        <f>--25806.74</f>
        <v>25806.74</v>
      </c>
      <c r="Q70" s="2"/>
      <c r="R70" s="22"/>
      <c r="S70" s="2"/>
      <c r="T70" s="2"/>
      <c r="U70" s="2"/>
      <c r="V70" s="22"/>
      <c r="W70" s="2"/>
      <c r="X70" s="2">
        <f t="shared" si="2"/>
        <v>25806.74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--44</f>
        <v>44</v>
      </c>
      <c r="E71" s="2"/>
      <c r="F71" s="22"/>
      <c r="G71" s="2"/>
      <c r="H71" s="2"/>
      <c r="I71" s="2"/>
      <c r="J71" s="22"/>
      <c r="K71" s="2"/>
      <c r="L71" s="2">
        <f t="shared" si="0"/>
        <v>44</v>
      </c>
      <c r="M71" s="2"/>
      <c r="N71" s="22">
        <f t="shared" si="1"/>
        <v>0</v>
      </c>
      <c r="O71" s="11"/>
      <c r="P71" s="2">
        <f>--1773.77</f>
        <v>1773.77</v>
      </c>
      <c r="Q71" s="2"/>
      <c r="R71" s="22"/>
      <c r="S71" s="2"/>
      <c r="T71" s="2"/>
      <c r="U71" s="2"/>
      <c r="V71" s="22"/>
      <c r="W71" s="2"/>
      <c r="X71" s="2">
        <f t="shared" si="2"/>
        <v>1773.77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-1333.42</f>
        <v>-1333.42</v>
      </c>
      <c r="E72" s="2"/>
      <c r="F72" s="22"/>
      <c r="G72" s="2"/>
      <c r="H72" s="2"/>
      <c r="I72" s="2"/>
      <c r="J72" s="22"/>
      <c r="K72" s="2"/>
      <c r="L72" s="2">
        <f t="shared" si="0"/>
        <v>-1333.42</v>
      </c>
      <c r="M72" s="2"/>
      <c r="N72" s="22">
        <f t="shared" si="1"/>
        <v>0</v>
      </c>
      <c r="O72" s="11"/>
      <c r="P72" s="2">
        <f>-35094.66</f>
        <v>-35094.660000000003</v>
      </c>
      <c r="Q72" s="2"/>
      <c r="R72" s="22"/>
      <c r="S72" s="2"/>
      <c r="T72" s="2"/>
      <c r="U72" s="2"/>
      <c r="V72" s="22"/>
      <c r="W72" s="2"/>
      <c r="X72" s="2">
        <f t="shared" si="2"/>
        <v>-35094.660000000003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-3274.35</f>
        <v>-3274.35</v>
      </c>
      <c r="E73" s="2"/>
      <c r="F73" s="22"/>
      <c r="G73" s="2"/>
      <c r="H73" s="2"/>
      <c r="I73" s="2"/>
      <c r="J73" s="22"/>
      <c r="K73" s="2"/>
      <c r="L73" s="2">
        <f t="shared" si="0"/>
        <v>-3274.35</v>
      </c>
      <c r="M73" s="2"/>
      <c r="N73" s="22">
        <f t="shared" si="1"/>
        <v>0</v>
      </c>
      <c r="O73" s="11"/>
      <c r="P73" s="2">
        <f>-13803.35</f>
        <v>-13803.35</v>
      </c>
      <c r="Q73" s="2"/>
      <c r="R73" s="22"/>
      <c r="S73" s="2"/>
      <c r="T73" s="2"/>
      <c r="U73" s="2"/>
      <c r="V73" s="22"/>
      <c r="W73" s="2"/>
      <c r="X73" s="2">
        <f t="shared" si="2"/>
        <v>-13803.35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"4204", " - ", "SALES RETURN TAXABLE-DIGITAL T")</f>
        <v xml:space="preserve">          4204 - SALES RETURN TAXABLE-DIGITAL T</v>
      </c>
      <c r="C74" s="11"/>
      <c r="D74" s="2">
        <f t="shared" ref="D74:D75" si="8"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-1630.85</f>
        <v>-1630.85</v>
      </c>
      <c r="Q74" s="2"/>
      <c r="R74" s="22"/>
      <c r="S74" s="2"/>
      <c r="T74" s="2"/>
      <c r="U74" s="2"/>
      <c r="V74" s="22"/>
      <c r="W74" s="2"/>
      <c r="X74" s="2">
        <f t="shared" si="2"/>
        <v>-1630.85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 t="shared" si="8"/>
        <v>0</v>
      </c>
      <c r="E75" s="2"/>
      <c r="F75" s="22"/>
      <c r="G75" s="2"/>
      <c r="H75" s="2"/>
      <c r="I75" s="2"/>
      <c r="J75" s="22"/>
      <c r="K75" s="2"/>
      <c r="L75" s="2">
        <f t="shared" si="0"/>
        <v>0</v>
      </c>
      <c r="M75" s="2"/>
      <c r="N75" s="22">
        <f t="shared" si="1"/>
        <v>0</v>
      </c>
      <c r="O75" s="11"/>
      <c r="P75" s="2">
        <f>-34.23</f>
        <v>-34.229999999999997</v>
      </c>
      <c r="Q75" s="2"/>
      <c r="R75" s="22"/>
      <c r="S75" s="2"/>
      <c r="T75" s="2"/>
      <c r="U75" s="2"/>
      <c r="V75" s="22"/>
      <c r="W75" s="2"/>
      <c r="X75" s="2">
        <f t="shared" si="2"/>
        <v>-34.229999999999997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>-31.98</f>
        <v>-31.98</v>
      </c>
      <c r="E76" s="2"/>
      <c r="F76" s="22"/>
      <c r="G76" s="2"/>
      <c r="H76" s="2"/>
      <c r="I76" s="2"/>
      <c r="J76" s="22"/>
      <c r="K76" s="2"/>
      <c r="L76" s="2">
        <f t="shared" si="0"/>
        <v>-31.98</v>
      </c>
      <c r="M76" s="2"/>
      <c r="N76" s="22">
        <f t="shared" si="1"/>
        <v>0</v>
      </c>
      <c r="O76" s="11"/>
      <c r="P76" s="2">
        <f>-610.64</f>
        <v>-610.64</v>
      </c>
      <c r="Q76" s="2"/>
      <c r="R76" s="22"/>
      <c r="S76" s="2"/>
      <c r="T76" s="2"/>
      <c r="U76" s="2"/>
      <c r="V76" s="22"/>
      <c r="W76" s="2"/>
      <c r="X76" s="2">
        <f t="shared" si="2"/>
        <v>-610.64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>-32.49</f>
        <v>-32.49</v>
      </c>
      <c r="E77" s="2"/>
      <c r="F77" s="22"/>
      <c r="G77" s="2"/>
      <c r="H77" s="2"/>
      <c r="I77" s="2"/>
      <c r="J77" s="22"/>
      <c r="K77" s="2"/>
      <c r="L77" s="2">
        <f t="shared" si="0"/>
        <v>-32.49</v>
      </c>
      <c r="M77" s="2"/>
      <c r="N77" s="22">
        <f t="shared" si="1"/>
        <v>0</v>
      </c>
      <c r="O77" s="11"/>
      <c r="P77" s="2">
        <f>-254.69</f>
        <v>-254.69</v>
      </c>
      <c r="Q77" s="2"/>
      <c r="R77" s="22"/>
      <c r="S77" s="2"/>
      <c r="T77" s="2"/>
      <c r="U77" s="2"/>
      <c r="V77" s="22"/>
      <c r="W77" s="2"/>
      <c r="X77" s="2">
        <f t="shared" si="2"/>
        <v>-254.69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>-1729.15</f>
        <v>-1729.15</v>
      </c>
      <c r="E78" s="2"/>
      <c r="F78" s="22"/>
      <c r="G78" s="2"/>
      <c r="H78" s="2"/>
      <c r="I78" s="2"/>
      <c r="J78" s="22"/>
      <c r="K78" s="2"/>
      <c r="L78" s="2">
        <f t="shared" si="0"/>
        <v>-1729.15</v>
      </c>
      <c r="M78" s="2"/>
      <c r="N78" s="22">
        <f t="shared" si="1"/>
        <v>0</v>
      </c>
      <c r="O78" s="11"/>
      <c r="P78" s="2">
        <f>-15578.67</f>
        <v>-15578.67</v>
      </c>
      <c r="Q78" s="2"/>
      <c r="R78" s="22"/>
      <c r="S78" s="2"/>
      <c r="T78" s="2"/>
      <c r="U78" s="2"/>
      <c r="V78" s="22"/>
      <c r="W78" s="2"/>
      <c r="X78" s="2">
        <f t="shared" si="2"/>
        <v>-15578.67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>-108.29</f>
        <v>-108.29</v>
      </c>
      <c r="E79" s="2"/>
      <c r="F79" s="22"/>
      <c r="G79" s="2"/>
      <c r="H79" s="2"/>
      <c r="I79" s="2"/>
      <c r="J79" s="22"/>
      <c r="K79" s="2"/>
      <c r="L79" s="2">
        <f t="shared" si="0"/>
        <v>-108.29</v>
      </c>
      <c r="M79" s="2"/>
      <c r="N79" s="22">
        <f t="shared" si="1"/>
        <v>0</v>
      </c>
      <c r="O79" s="11"/>
      <c r="P79" s="2">
        <f>-2804.85</f>
        <v>-2804.85</v>
      </c>
      <c r="Q79" s="2"/>
      <c r="R79" s="22"/>
      <c r="S79" s="2"/>
      <c r="T79" s="2"/>
      <c r="U79" s="2"/>
      <c r="V79" s="22"/>
      <c r="W79" s="2"/>
      <c r="X79" s="2">
        <f t="shared" si="2"/>
        <v>-2804.85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>-7.48</f>
        <v>-7.48</v>
      </c>
      <c r="E80" s="2"/>
      <c r="F80" s="22"/>
      <c r="G80" s="2"/>
      <c r="H80" s="2"/>
      <c r="I80" s="2"/>
      <c r="J80" s="22"/>
      <c r="K80" s="2"/>
      <c r="L80" s="2">
        <f t="shared" si="0"/>
        <v>-7.48</v>
      </c>
      <c r="M80" s="2"/>
      <c r="N80" s="22">
        <f t="shared" si="1"/>
        <v>0</v>
      </c>
      <c r="O80" s="11"/>
      <c r="P80" s="2">
        <f>-1328.99</f>
        <v>-1328.99</v>
      </c>
      <c r="Q80" s="2"/>
      <c r="R80" s="22"/>
      <c r="S80" s="2"/>
      <c r="T80" s="2"/>
      <c r="U80" s="2"/>
      <c r="V80" s="22"/>
      <c r="W80" s="2"/>
      <c r="X80" s="2">
        <f t="shared" si="2"/>
        <v>-1328.99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"4243", " - ", "SALES RETURN TAXABLE-CARDS")</f>
        <v xml:space="preserve">          4243 - SALES RETURN TAXABLE-CARDS</v>
      </c>
      <c r="C81" s="11"/>
      <c r="D81" s="2">
        <f>-829.54</f>
        <v>-829.54</v>
      </c>
      <c r="E81" s="2"/>
      <c r="F81" s="22"/>
      <c r="G81" s="2"/>
      <c r="H81" s="2"/>
      <c r="I81" s="2"/>
      <c r="J81" s="22"/>
      <c r="K81" s="2"/>
      <c r="L81" s="2">
        <f t="shared" si="0"/>
        <v>-829.54</v>
      </c>
      <c r="M81" s="2"/>
      <c r="N81" s="22">
        <f t="shared" si="1"/>
        <v>0</v>
      </c>
      <c r="O81" s="11"/>
      <c r="P81" s="2">
        <f>-1812.46</f>
        <v>-1812.46</v>
      </c>
      <c r="Q81" s="2"/>
      <c r="R81" s="22"/>
      <c r="S81" s="2"/>
      <c r="T81" s="2"/>
      <c r="U81" s="2"/>
      <c r="V81" s="22"/>
      <c r="W81" s="2"/>
      <c r="X81" s="2">
        <f t="shared" si="2"/>
        <v>-1812.46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"4244", " - ", "SALES RETURN TAXABLE-ACCESSORI")</f>
        <v xml:space="preserve">          4244 - SALES RETURN TAXABLE-ACCESSORI</v>
      </c>
      <c r="C82" s="11"/>
      <c r="D82" s="2">
        <f>-179.95</f>
        <v>-179.95</v>
      </c>
      <c r="E82" s="2"/>
      <c r="F82" s="22"/>
      <c r="G82" s="2"/>
      <c r="H82" s="2"/>
      <c r="I82" s="2"/>
      <c r="J82" s="22"/>
      <c r="K82" s="2"/>
      <c r="L82" s="2">
        <f t="shared" si="0"/>
        <v>-179.95</v>
      </c>
      <c r="M82" s="2"/>
      <c r="N82" s="22">
        <f t="shared" si="1"/>
        <v>0</v>
      </c>
      <c r="O82" s="11"/>
      <c r="P82" s="2">
        <f>-590.94</f>
        <v>-590.94000000000005</v>
      </c>
      <c r="Q82" s="2"/>
      <c r="R82" s="22"/>
      <c r="S82" s="2"/>
      <c r="T82" s="2"/>
      <c r="U82" s="2"/>
      <c r="V82" s="22"/>
      <c r="W82" s="2"/>
      <c r="X82" s="2">
        <f t="shared" si="2"/>
        <v>-590.94000000000005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"4245", " - ", "SALES RETURN TAXABLE-SPECIAL O")</f>
        <v xml:space="preserve">          4245 - SALES RETURN TAXABLE-SPECIAL O</v>
      </c>
      <c r="C83" s="11"/>
      <c r="D83" s="2">
        <f>-45.89</f>
        <v>-45.89</v>
      </c>
      <c r="E83" s="2"/>
      <c r="F83" s="22"/>
      <c r="G83" s="2"/>
      <c r="H83" s="2"/>
      <c r="I83" s="2"/>
      <c r="J83" s="22"/>
      <c r="K83" s="2"/>
      <c r="L83" s="2">
        <f t="shared" si="0"/>
        <v>-45.89</v>
      </c>
      <c r="M83" s="2"/>
      <c r="N83" s="22">
        <f t="shared" si="1"/>
        <v>0</v>
      </c>
      <c r="O83" s="11"/>
      <c r="P83" s="2">
        <f>-1592.82</f>
        <v>-1592.82</v>
      </c>
      <c r="Q83" s="2"/>
      <c r="R83" s="22"/>
      <c r="S83" s="2"/>
      <c r="T83" s="2"/>
      <c r="U83" s="2"/>
      <c r="V83" s="22"/>
      <c r="W83" s="2"/>
      <c r="X83" s="2">
        <f t="shared" si="2"/>
        <v>-1592.82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"4281", " - ", "SALES RETURN TAXABLE-ELECTRONI")</f>
        <v xml:space="preserve">          4281 - SALES RETURN TAXABLE-ELECTRONI</v>
      </c>
      <c r="C84" s="11"/>
      <c r="D84" s="2">
        <f>0</f>
        <v>0</v>
      </c>
      <c r="E84" s="2"/>
      <c r="F84" s="22"/>
      <c r="G84" s="2"/>
      <c r="H84" s="2"/>
      <c r="I84" s="2"/>
      <c r="J84" s="22"/>
      <c r="K84" s="2"/>
      <c r="L84" s="2">
        <f t="shared" si="0"/>
        <v>0</v>
      </c>
      <c r="M84" s="2"/>
      <c r="N84" s="22">
        <f t="shared" si="1"/>
        <v>0</v>
      </c>
      <c r="O84" s="11"/>
      <c r="P84" s="2">
        <f>-14632.15</f>
        <v>-14632.15</v>
      </c>
      <c r="Q84" s="2"/>
      <c r="R84" s="22"/>
      <c r="S84" s="2"/>
      <c r="T84" s="2"/>
      <c r="U84" s="2"/>
      <c r="V84" s="22"/>
      <c r="W84" s="2"/>
      <c r="X84" s="2">
        <f t="shared" si="2"/>
        <v>-14632.15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"4282", " - ", "SALES RETURN TAXABLE-COMPUTER")</f>
        <v xml:space="preserve">          4282 - SALES RETURN TAXABLE-COMPUTER</v>
      </c>
      <c r="C85" s="11"/>
      <c r="D85" s="2">
        <f>-15761.01</f>
        <v>-15761.01</v>
      </c>
      <c r="E85" s="2"/>
      <c r="F85" s="22"/>
      <c r="G85" s="2"/>
      <c r="H85" s="2"/>
      <c r="I85" s="2"/>
      <c r="J85" s="22"/>
      <c r="K85" s="2"/>
      <c r="L85" s="2">
        <f t="shared" si="0"/>
        <v>-15761.01</v>
      </c>
      <c r="M85" s="2"/>
      <c r="N85" s="22">
        <f t="shared" si="1"/>
        <v>0</v>
      </c>
      <c r="O85" s="11"/>
      <c r="P85" s="2">
        <f>-84084.01</f>
        <v>-84084.01</v>
      </c>
      <c r="Q85" s="2"/>
      <c r="R85" s="22"/>
      <c r="S85" s="2"/>
      <c r="T85" s="2"/>
      <c r="U85" s="2"/>
      <c r="V85" s="22"/>
      <c r="W85" s="2"/>
      <c r="X85" s="2">
        <f t="shared" si="2"/>
        <v>-84084.01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"4283", " - ", "SALES RETURN TAXABLE-COMPUTER")</f>
        <v xml:space="preserve">          4283 - SALES RETURN TAXABLE-COMPUTER</v>
      </c>
      <c r="C86" s="11"/>
      <c r="D86" s="2">
        <f>-678.96</f>
        <v>-678.96</v>
      </c>
      <c r="E86" s="2"/>
      <c r="F86" s="22"/>
      <c r="G86" s="2"/>
      <c r="H86" s="2"/>
      <c r="I86" s="2"/>
      <c r="J86" s="22"/>
      <c r="K86" s="2"/>
      <c r="L86" s="2">
        <f t="shared" si="0"/>
        <v>-678.96</v>
      </c>
      <c r="M86" s="2"/>
      <c r="N86" s="22">
        <f t="shared" si="1"/>
        <v>0</v>
      </c>
      <c r="O86" s="11"/>
      <c r="P86" s="2">
        <f>-3311.27</f>
        <v>-3311.27</v>
      </c>
      <c r="Q86" s="2"/>
      <c r="R86" s="22"/>
      <c r="S86" s="2"/>
      <c r="T86" s="2"/>
      <c r="U86" s="2"/>
      <c r="V86" s="22"/>
      <c r="W86" s="2"/>
      <c r="X86" s="2">
        <f t="shared" si="2"/>
        <v>-3311.27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"4285", " - ", "SALES RETURN TAXABLE-SOFTWARE")</f>
        <v xml:space="preserve">          4285 - SALES RETURN TAXABLE-SOFTWARE</v>
      </c>
      <c r="C87" s="11"/>
      <c r="D87" s="2">
        <f>-139</f>
        <v>-139</v>
      </c>
      <c r="E87" s="2"/>
      <c r="F87" s="22"/>
      <c r="G87" s="2"/>
      <c r="H87" s="2"/>
      <c r="I87" s="2"/>
      <c r="J87" s="22"/>
      <c r="K87" s="2"/>
      <c r="L87" s="2">
        <f t="shared" si="0"/>
        <v>-139</v>
      </c>
      <c r="M87" s="2"/>
      <c r="N87" s="22">
        <f t="shared" si="1"/>
        <v>0</v>
      </c>
      <c r="O87" s="11"/>
      <c r="P87" s="2">
        <f>-691.98</f>
        <v>-691.98</v>
      </c>
      <c r="Q87" s="2"/>
      <c r="R87" s="22"/>
      <c r="S87" s="2"/>
      <c r="T87" s="2"/>
      <c r="U87" s="2"/>
      <c r="V87" s="22"/>
      <c r="W87" s="2"/>
      <c r="X87" s="2">
        <f t="shared" si="2"/>
        <v>-691.98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"4286", " - ", "SALES RETURN TAXABLE-COMPUTER")</f>
        <v xml:space="preserve">          4286 - SALES RETURN TAXABLE-COMPUTER</v>
      </c>
      <c r="C88" s="11"/>
      <c r="D88" s="2">
        <f>-9.99</f>
        <v>-9.99</v>
      </c>
      <c r="E88" s="2"/>
      <c r="F88" s="22"/>
      <c r="G88" s="2"/>
      <c r="H88" s="2"/>
      <c r="I88" s="2"/>
      <c r="J88" s="22"/>
      <c r="K88" s="2"/>
      <c r="L88" s="2">
        <f t="shared" si="0"/>
        <v>-9.99</v>
      </c>
      <c r="M88" s="2"/>
      <c r="N88" s="22">
        <f t="shared" si="1"/>
        <v>0</v>
      </c>
      <c r="O88" s="11"/>
      <c r="P88" s="2">
        <f>-581.35</f>
        <v>-581.35</v>
      </c>
      <c r="Q88" s="2"/>
      <c r="R88" s="22"/>
      <c r="S88" s="2"/>
      <c r="T88" s="2"/>
      <c r="U88" s="2"/>
      <c r="V88" s="22"/>
      <c r="W88" s="2"/>
      <c r="X88" s="2">
        <f t="shared" si="2"/>
        <v>-581.35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"4301", " - ", "SALES RETURN NON TAXABLE-NEW T")</f>
        <v xml:space="preserve">          4301 - SALES RETURN NON TAXABLE-NEW T</v>
      </c>
      <c r="C89" s="11"/>
      <c r="D89" s="2">
        <f>0</f>
        <v>0</v>
      </c>
      <c r="E89" s="2"/>
      <c r="F89" s="22"/>
      <c r="G89" s="2"/>
      <c r="H89" s="2"/>
      <c r="I89" s="2"/>
      <c r="J89" s="22"/>
      <c r="K89" s="2"/>
      <c r="L89" s="2">
        <f t="shared" si="0"/>
        <v>0</v>
      </c>
      <c r="M89" s="2"/>
      <c r="N89" s="22">
        <f t="shared" si="1"/>
        <v>0</v>
      </c>
      <c r="O89" s="11"/>
      <c r="P89" s="2">
        <f>-2376.17</f>
        <v>-2376.17</v>
      </c>
      <c r="Q89" s="2"/>
      <c r="R89" s="22"/>
      <c r="S89" s="2"/>
      <c r="T89" s="2"/>
      <c r="U89" s="2"/>
      <c r="V89" s="22"/>
      <c r="W89" s="2"/>
      <c r="X89" s="2">
        <f t="shared" si="2"/>
        <v>-2376.17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"4302", " - ", "SALES RETURN NON TAXABLE-TEXT")</f>
        <v xml:space="preserve">          4302 - SALES RETURN NON TAXABLE-TEXT</v>
      </c>
      <c r="C90" s="11"/>
      <c r="D90" s="2">
        <f>-76.05</f>
        <v>-76.05</v>
      </c>
      <c r="E90" s="2"/>
      <c r="F90" s="22"/>
      <c r="G90" s="2"/>
      <c r="H90" s="2"/>
      <c r="I90" s="2"/>
      <c r="J90" s="22"/>
      <c r="K90" s="2"/>
      <c r="L90" s="2">
        <f t="shared" si="0"/>
        <v>-76.05</v>
      </c>
      <c r="M90" s="2"/>
      <c r="N90" s="22">
        <f t="shared" si="1"/>
        <v>0</v>
      </c>
      <c r="O90" s="11"/>
      <c r="P90" s="2">
        <f>-1392.85</f>
        <v>-1392.85</v>
      </c>
      <c r="Q90" s="2"/>
      <c r="R90" s="22"/>
      <c r="S90" s="2"/>
      <c r="T90" s="2"/>
      <c r="U90" s="2"/>
      <c r="V90" s="22"/>
      <c r="W90" s="2"/>
      <c r="X90" s="2">
        <f t="shared" si="2"/>
        <v>-1392.85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"4304", " - ", "SALES RETURN NON TAXABLE-DIGIT")</f>
        <v xml:space="preserve">          4304 - SALES RETURN NON TAXABLE-DIGIT</v>
      </c>
      <c r="C91" s="11"/>
      <c r="D91" s="2">
        <f>-176.43</f>
        <v>-176.43</v>
      </c>
      <c r="E91" s="2"/>
      <c r="F91" s="22"/>
      <c r="G91" s="2"/>
      <c r="H91" s="2"/>
      <c r="I91" s="2"/>
      <c r="J91" s="22"/>
      <c r="K91" s="2"/>
      <c r="L91" s="2">
        <f t="shared" si="0"/>
        <v>-176.43</v>
      </c>
      <c r="M91" s="2"/>
      <c r="N91" s="22">
        <f t="shared" si="1"/>
        <v>0</v>
      </c>
      <c r="O91" s="11"/>
      <c r="P91" s="2">
        <f>-14278.54</f>
        <v>-14278.54</v>
      </c>
      <c r="Q91" s="2"/>
      <c r="R91" s="22"/>
      <c r="S91" s="2"/>
      <c r="T91" s="2"/>
      <c r="U91" s="2"/>
      <c r="V91" s="22"/>
      <c r="W91" s="2"/>
      <c r="X91" s="2">
        <f t="shared" si="2"/>
        <v>-14278.54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"4340", " - ", "SALES RETURN NON TAXABLE-LOGO")</f>
        <v xml:space="preserve">          4340 - SALES RETURN NON TAXABLE-LOGO</v>
      </c>
      <c r="C92" s="11"/>
      <c r="D92" s="2">
        <f>-203.75</f>
        <v>-203.75</v>
      </c>
      <c r="E92" s="2"/>
      <c r="F92" s="22"/>
      <c r="G92" s="2"/>
      <c r="H92" s="2"/>
      <c r="I92" s="2"/>
      <c r="J92" s="22"/>
      <c r="K92" s="2"/>
      <c r="L92" s="2">
        <f t="shared" si="0"/>
        <v>-203.75</v>
      </c>
      <c r="M92" s="2"/>
      <c r="N92" s="22">
        <f t="shared" si="1"/>
        <v>0</v>
      </c>
      <c r="O92" s="11"/>
      <c r="P92" s="2">
        <f>-940.48</f>
        <v>-940.48</v>
      </c>
      <c r="Q92" s="2"/>
      <c r="R92" s="22"/>
      <c r="S92" s="2"/>
      <c r="T92" s="2"/>
      <c r="U92" s="2"/>
      <c r="V92" s="22"/>
      <c r="W92" s="2"/>
      <c r="X92" s="2">
        <f t="shared" si="2"/>
        <v>-940.48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"4341", " - ", "SALES RETURN NON TAXABLE-LOGO")</f>
        <v xml:space="preserve">          4341 - SALES RETURN NON TAXABLE-LOGO</v>
      </c>
      <c r="C93" s="11"/>
      <c r="D93" s="2">
        <f>-154.89</f>
        <v>-154.88999999999999</v>
      </c>
      <c r="E93" s="2"/>
      <c r="F93" s="22"/>
      <c r="G93" s="2"/>
      <c r="H93" s="2"/>
      <c r="I93" s="2"/>
      <c r="J93" s="22"/>
      <c r="K93" s="2"/>
      <c r="L93" s="2">
        <f t="shared" si="0"/>
        <v>-154.88999999999999</v>
      </c>
      <c r="M93" s="2"/>
      <c r="N93" s="22">
        <f t="shared" si="1"/>
        <v>0</v>
      </c>
      <c r="O93" s="11"/>
      <c r="P93" s="2">
        <f>-301.79</f>
        <v>-301.79000000000002</v>
      </c>
      <c r="Q93" s="2"/>
      <c r="R93" s="22"/>
      <c r="S93" s="2"/>
      <c r="T93" s="2"/>
      <c r="U93" s="2"/>
      <c r="V93" s="22"/>
      <c r="W93" s="2"/>
      <c r="X93" s="2">
        <f t="shared" si="2"/>
        <v>-301.79000000000002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"4342", " - ", "SALES RETURN NON TAXABLE-EVERY")</f>
        <v xml:space="preserve">          4342 - SALES RETURN NON TAXABLE-EVERY</v>
      </c>
      <c r="C94" s="11"/>
      <c r="D94" s="2">
        <f t="shared" ref="D94:D95" si="9">0</f>
        <v>0</v>
      </c>
      <c r="E94" s="2"/>
      <c r="F94" s="22"/>
      <c r="G94" s="2"/>
      <c r="H94" s="2"/>
      <c r="I94" s="2"/>
      <c r="J94" s="22"/>
      <c r="K94" s="2"/>
      <c r="L94" s="2">
        <f t="shared" si="0"/>
        <v>0</v>
      </c>
      <c r="M94" s="2"/>
      <c r="N94" s="22">
        <f t="shared" si="1"/>
        <v>0</v>
      </c>
      <c r="O94" s="11"/>
      <c r="P94" s="2">
        <f>-118.7</f>
        <v>-118.7</v>
      </c>
      <c r="Q94" s="2"/>
      <c r="R94" s="22"/>
      <c r="S94" s="2"/>
      <c r="T94" s="2"/>
      <c r="U94" s="2"/>
      <c r="V94" s="22"/>
      <c r="W94" s="2"/>
      <c r="X94" s="2">
        <f t="shared" si="2"/>
        <v>-118.7</v>
      </c>
      <c r="Y94" s="2"/>
      <c r="Z94" s="22">
        <f t="shared" si="3"/>
        <v>0</v>
      </c>
    </row>
    <row r="95" spans="1:26" s="24" customFormat="1" hidden="1" outlineLevel="1" x14ac:dyDescent="0.25">
      <c r="A95" s="51"/>
      <c r="B95" s="11" t="str">
        <f>CONCATENATE("          ", "4381", " - ", "SALES RETURN NON TAXABLE-ELECT")</f>
        <v xml:space="preserve">          4381 - SALES RETURN NON TAXABLE-ELECT</v>
      </c>
      <c r="C95" s="11"/>
      <c r="D95" s="2">
        <f t="shared" si="9"/>
        <v>0</v>
      </c>
      <c r="E95" s="2"/>
      <c r="F95" s="22"/>
      <c r="G95" s="2"/>
      <c r="H95" s="2"/>
      <c r="I95" s="2"/>
      <c r="J95" s="22"/>
      <c r="K95" s="2"/>
      <c r="L95" s="2">
        <f t="shared" si="0"/>
        <v>0</v>
      </c>
      <c r="M95" s="2"/>
      <c r="N95" s="22">
        <f t="shared" si="1"/>
        <v>0</v>
      </c>
      <c r="O95" s="11"/>
      <c r="P95" s="2">
        <f>-5624.15</f>
        <v>-5624.15</v>
      </c>
      <c r="Q95" s="2"/>
      <c r="R95" s="22"/>
      <c r="S95" s="2"/>
      <c r="T95" s="2"/>
      <c r="U95" s="2"/>
      <c r="V95" s="22"/>
      <c r="W95" s="2"/>
      <c r="X95" s="2">
        <f t="shared" si="2"/>
        <v>-5624.15</v>
      </c>
      <c r="Y95" s="2"/>
      <c r="Z95" s="22">
        <f t="shared" si="3"/>
        <v>0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collapsed="1" x14ac:dyDescent="0.25">
      <c r="A97" s="10"/>
      <c r="B97" s="26" t="s">
        <v>8</v>
      </c>
      <c r="C97" s="10"/>
      <c r="D97" s="4">
        <f>SUM(OSRRefD16x_0)</f>
        <v>165810.11999999997</v>
      </c>
      <c r="E97" s="4"/>
      <c r="F97" s="12">
        <f t="shared" ref="F97:F141" si="10">IF(D$12=0,0,D97/D$12)</f>
        <v>0.41923460423280728</v>
      </c>
      <c r="G97" s="4"/>
      <c r="H97" s="4">
        <f>SUM(OSRRefH16x_0)</f>
        <v>394815</v>
      </c>
      <c r="I97" s="4"/>
      <c r="J97" s="12">
        <f t="shared" ref="J97:J141" si="11">IF(H$12=0,0,H97/H$12)</f>
        <v>0.40575830138844637</v>
      </c>
      <c r="K97" s="4"/>
      <c r="L97" s="4">
        <f t="shared" ref="L97:L141" si="12">+D97-H97</f>
        <v>-229004.88000000003</v>
      </c>
      <c r="M97" s="4"/>
      <c r="N97" s="12">
        <f t="shared" ref="N97:N141" si="13">IF(H97=0,0,L97/H97)</f>
        <v>-0.58003084989172149</v>
      </c>
      <c r="O97" s="10"/>
      <c r="P97" s="4">
        <f>SUM(OSRRefP16x_0)</f>
        <v>2983164.63</v>
      </c>
      <c r="Q97" s="4"/>
      <c r="R97" s="12">
        <f t="shared" ref="R97:R141" si="14">IF(P$12=0,0,P97/P$12)</f>
        <v>0.6402486871966957</v>
      </c>
      <c r="S97" s="4"/>
      <c r="T97" s="4">
        <f>SUM(OSRRefT16x_0)</f>
        <v>4199533</v>
      </c>
      <c r="U97" s="4"/>
      <c r="V97" s="12">
        <f t="shared" ref="V97:V141" si="15">IF(T$12=0,0,T97/T$12)</f>
        <v>0.53827413710187633</v>
      </c>
      <c r="W97" s="4"/>
      <c r="X97" s="4">
        <f t="shared" ref="X97:X141" si="16">+P97-T97</f>
        <v>-1216368.3700000001</v>
      </c>
      <c r="Y97" s="4"/>
      <c r="Z97" s="12">
        <f t="shared" ref="Z97:Z141" si="17">IF(T97=0,0,X97/T97)</f>
        <v>-0.28964372229007374</v>
      </c>
    </row>
    <row r="98" spans="1:26" s="24" customFormat="1" hidden="1" outlineLevel="1" x14ac:dyDescent="0.25">
      <c r="A98" s="51"/>
      <c r="B98" s="11" t="str">
        <f>CONCATENATE("          ", "5000", " - ", "PURCHASES @ COST")</f>
        <v xml:space="preserve">          5000 - PURCHASES @ COST</v>
      </c>
      <c r="C98" s="11"/>
      <c r="D98" s="2"/>
      <c r="E98" s="2"/>
      <c r="F98" s="22">
        <f t="shared" si="10"/>
        <v>0</v>
      </c>
      <c r="G98" s="2"/>
      <c r="H98" s="2">
        <v>394815</v>
      </c>
      <c r="I98" s="2"/>
      <c r="J98" s="22">
        <f t="shared" si="11"/>
        <v>0.40575830138844637</v>
      </c>
      <c r="K98" s="2"/>
      <c r="L98" s="2">
        <f t="shared" si="12"/>
        <v>-394815</v>
      </c>
      <c r="M98" s="2"/>
      <c r="N98" s="22">
        <f t="shared" si="13"/>
        <v>-1</v>
      </c>
      <c r="O98" s="11"/>
      <c r="P98" s="2"/>
      <c r="Q98" s="2"/>
      <c r="R98" s="22">
        <f t="shared" si="14"/>
        <v>0</v>
      </c>
      <c r="S98" s="2"/>
      <c r="T98" s="2">
        <v>4199533</v>
      </c>
      <c r="U98" s="2"/>
      <c r="V98" s="22">
        <f t="shared" si="15"/>
        <v>0.53827413710187633</v>
      </c>
      <c r="W98" s="2"/>
      <c r="X98" s="2">
        <f t="shared" si="16"/>
        <v>-4199533</v>
      </c>
      <c r="Y98" s="2"/>
      <c r="Z98" s="22">
        <f t="shared" si="17"/>
        <v>-1</v>
      </c>
    </row>
    <row r="99" spans="1:26" s="24" customFormat="1" hidden="1" outlineLevel="1" x14ac:dyDescent="0.25">
      <c r="A99" s="51"/>
      <c r="B99" s="11" t="str">
        <f>CONCATENATE("          ", "5001", " - ", "PURCHASES @ COST-NEW TEXT")</f>
        <v xml:space="preserve">          5001 - PURCHASES @ COST-NEW TEXT</v>
      </c>
      <c r="C99" s="11"/>
      <c r="D99" s="2">
        <v>-108601.35</v>
      </c>
      <c r="E99" s="2"/>
      <c r="F99" s="22">
        <f t="shared" si="10"/>
        <v>-0.27458784775258949</v>
      </c>
      <c r="G99" s="2"/>
      <c r="H99" s="2"/>
      <c r="I99" s="2"/>
      <c r="J99" s="22">
        <f t="shared" si="11"/>
        <v>0</v>
      </c>
      <c r="K99" s="2"/>
      <c r="L99" s="2">
        <f t="shared" si="12"/>
        <v>-108601.35</v>
      </c>
      <c r="M99" s="2"/>
      <c r="N99" s="22">
        <f t="shared" si="13"/>
        <v>0</v>
      </c>
      <c r="O99" s="11"/>
      <c r="P99" s="2">
        <v>1240595.48</v>
      </c>
      <c r="Q99" s="2"/>
      <c r="R99" s="22">
        <f t="shared" si="14"/>
        <v>0.26625738969429741</v>
      </c>
      <c r="S99" s="2"/>
      <c r="T99" s="2"/>
      <c r="U99" s="2"/>
      <c r="V99" s="22">
        <f t="shared" si="15"/>
        <v>0</v>
      </c>
      <c r="W99" s="2"/>
      <c r="X99" s="2">
        <f t="shared" si="16"/>
        <v>1240595.48</v>
      </c>
      <c r="Y99" s="2"/>
      <c r="Z99" s="22">
        <f t="shared" si="17"/>
        <v>0</v>
      </c>
    </row>
    <row r="100" spans="1:26" s="24" customFormat="1" hidden="1" outlineLevel="1" x14ac:dyDescent="0.25">
      <c r="A100" s="51"/>
      <c r="B100" s="11" t="str">
        <f>CONCATENATE("          ", "5002", " - ", "PURCHASES @ COST-USED TEXT")</f>
        <v xml:space="preserve">          5002 - PURCHASES @ COST-USED TEXT</v>
      </c>
      <c r="C100" s="11"/>
      <c r="D100" s="2">
        <v>-208829.28</v>
      </c>
      <c r="E100" s="2"/>
      <c r="F100" s="22">
        <f t="shared" si="10"/>
        <v>-0.52800432538751019</v>
      </c>
      <c r="G100" s="2"/>
      <c r="H100" s="2"/>
      <c r="I100" s="2"/>
      <c r="J100" s="22">
        <f t="shared" si="11"/>
        <v>0</v>
      </c>
      <c r="K100" s="2"/>
      <c r="L100" s="2">
        <f t="shared" si="12"/>
        <v>-208829.28</v>
      </c>
      <c r="M100" s="2"/>
      <c r="N100" s="22">
        <f t="shared" si="13"/>
        <v>0</v>
      </c>
      <c r="O100" s="11"/>
      <c r="P100" s="2">
        <v>94234.05</v>
      </c>
      <c r="Q100" s="2"/>
      <c r="R100" s="22">
        <f t="shared" si="14"/>
        <v>2.0224571649512951E-2</v>
      </c>
      <c r="S100" s="2"/>
      <c r="T100" s="2"/>
      <c r="U100" s="2"/>
      <c r="V100" s="22">
        <f t="shared" si="15"/>
        <v>0</v>
      </c>
      <c r="W100" s="2"/>
      <c r="X100" s="2">
        <f t="shared" si="16"/>
        <v>94234.05</v>
      </c>
      <c r="Y100" s="2"/>
      <c r="Z100" s="22">
        <f t="shared" si="17"/>
        <v>0</v>
      </c>
    </row>
    <row r="101" spans="1:26" s="24" customFormat="1" hidden="1" outlineLevel="1" x14ac:dyDescent="0.25">
      <c r="A101" s="51"/>
      <c r="B101" s="11" t="str">
        <f>CONCATENATE("          ", "5003", " - ", "PURCHASES @ COST-RENTAL TEXT")</f>
        <v xml:space="preserve">          5003 - PURCHASES @ COST-RENTAL TEXT</v>
      </c>
      <c r="C101" s="11"/>
      <c r="D101" s="2">
        <v>517.92999999999995</v>
      </c>
      <c r="E101" s="2"/>
      <c r="F101" s="22">
        <f t="shared" si="10"/>
        <v>1.3095351391718304E-3</v>
      </c>
      <c r="G101" s="2"/>
      <c r="H101" s="2"/>
      <c r="I101" s="2"/>
      <c r="J101" s="22">
        <f t="shared" si="11"/>
        <v>0</v>
      </c>
      <c r="K101" s="2"/>
      <c r="L101" s="2">
        <f t="shared" si="12"/>
        <v>517.92999999999995</v>
      </c>
      <c r="M101" s="2"/>
      <c r="N101" s="22">
        <f t="shared" si="13"/>
        <v>0</v>
      </c>
      <c r="O101" s="11"/>
      <c r="P101" s="2">
        <v>32.520000000000003</v>
      </c>
      <c r="Q101" s="2"/>
      <c r="R101" s="22">
        <f t="shared" si="14"/>
        <v>6.9794630501624536E-6</v>
      </c>
      <c r="S101" s="2"/>
      <c r="T101" s="2"/>
      <c r="U101" s="2"/>
      <c r="V101" s="22">
        <f t="shared" si="15"/>
        <v>0</v>
      </c>
      <c r="W101" s="2"/>
      <c r="X101" s="2">
        <f t="shared" si="16"/>
        <v>32.520000000000003</v>
      </c>
      <c r="Y101" s="2"/>
      <c r="Z101" s="22">
        <f t="shared" si="17"/>
        <v>0</v>
      </c>
    </row>
    <row r="102" spans="1:26" s="24" customFormat="1" hidden="1" outlineLevel="1" x14ac:dyDescent="0.25">
      <c r="A102" s="51"/>
      <c r="B102" s="11" t="str">
        <f>CONCATENATE("          ", "5004", " - ", "PURCHASES @ COST-DIGITAL TEXT")</f>
        <v xml:space="preserve">          5004 - PURCHASES @ COST-DIGITAL TEXT</v>
      </c>
      <c r="C102" s="11"/>
      <c r="D102" s="2">
        <v>1418.58</v>
      </c>
      <c r="E102" s="2"/>
      <c r="F102" s="22">
        <f t="shared" si="10"/>
        <v>3.5867402114694558E-3</v>
      </c>
      <c r="G102" s="2"/>
      <c r="H102" s="2"/>
      <c r="I102" s="2"/>
      <c r="J102" s="22">
        <f t="shared" si="11"/>
        <v>0</v>
      </c>
      <c r="K102" s="2"/>
      <c r="L102" s="2">
        <f t="shared" si="12"/>
        <v>1418.58</v>
      </c>
      <c r="M102" s="2"/>
      <c r="N102" s="22">
        <f t="shared" si="13"/>
        <v>0</v>
      </c>
      <c r="O102" s="11"/>
      <c r="P102" s="2">
        <v>196938.11000000002</v>
      </c>
      <c r="Q102" s="2"/>
      <c r="R102" s="22">
        <f t="shared" si="14"/>
        <v>4.2266982223672471E-2</v>
      </c>
      <c r="S102" s="2"/>
      <c r="T102" s="2"/>
      <c r="U102" s="2"/>
      <c r="V102" s="22">
        <f t="shared" si="15"/>
        <v>0</v>
      </c>
      <c r="W102" s="2"/>
      <c r="X102" s="2">
        <f t="shared" si="16"/>
        <v>196938.11000000002</v>
      </c>
      <c r="Y102" s="2"/>
      <c r="Z102" s="22">
        <f t="shared" si="17"/>
        <v>0</v>
      </c>
    </row>
    <row r="103" spans="1:26" s="24" customFormat="1" hidden="1" outlineLevel="1" x14ac:dyDescent="0.25">
      <c r="A103" s="51"/>
      <c r="B103" s="11" t="str">
        <f>CONCATENATE("          ", "5011", " - ", "PURCHASES @ COST-NO VALUE TEXT")</f>
        <v xml:space="preserve">          5011 - PURCHASES @ COST-NO VALUE TEXT</v>
      </c>
      <c r="C103" s="11"/>
      <c r="D103" s="2"/>
      <c r="E103" s="2"/>
      <c r="F103" s="22">
        <f t="shared" si="10"/>
        <v>0</v>
      </c>
      <c r="G103" s="2"/>
      <c r="H103" s="2"/>
      <c r="I103" s="2"/>
      <c r="J103" s="22">
        <f t="shared" si="11"/>
        <v>0</v>
      </c>
      <c r="K103" s="2"/>
      <c r="L103" s="2">
        <f t="shared" si="12"/>
        <v>0</v>
      </c>
      <c r="M103" s="2"/>
      <c r="N103" s="22">
        <f t="shared" si="13"/>
        <v>0</v>
      </c>
      <c r="O103" s="11"/>
      <c r="P103" s="2">
        <v>67.17</v>
      </c>
      <c r="Q103" s="2"/>
      <c r="R103" s="22">
        <f t="shared" si="14"/>
        <v>1.4416068052872447E-5</v>
      </c>
      <c r="S103" s="2"/>
      <c r="T103" s="2"/>
      <c r="U103" s="2"/>
      <c r="V103" s="22">
        <f t="shared" si="15"/>
        <v>0</v>
      </c>
      <c r="W103" s="2"/>
      <c r="X103" s="2">
        <f t="shared" si="16"/>
        <v>67.17</v>
      </c>
      <c r="Y103" s="2"/>
      <c r="Z103" s="22">
        <f t="shared" si="17"/>
        <v>0</v>
      </c>
    </row>
    <row r="104" spans="1:26" s="24" customFormat="1" hidden="1" outlineLevel="1" x14ac:dyDescent="0.25">
      <c r="A104" s="51"/>
      <c r="B104" s="11" t="str">
        <f>CONCATENATE("          ", "5013", " - ", "PURCHASES @ COST-TRADE BOOKS")</f>
        <v xml:space="preserve">          5013 - PURCHASES @ COST-TRADE BOOKS</v>
      </c>
      <c r="C104" s="11"/>
      <c r="D104" s="2">
        <v>611.1</v>
      </c>
      <c r="E104" s="2"/>
      <c r="F104" s="22">
        <f t="shared" si="10"/>
        <v>1.5451063339600056E-3</v>
      </c>
      <c r="G104" s="2"/>
      <c r="H104" s="2"/>
      <c r="I104" s="2"/>
      <c r="J104" s="22">
        <f t="shared" si="11"/>
        <v>0</v>
      </c>
      <c r="K104" s="2"/>
      <c r="L104" s="2">
        <f t="shared" si="12"/>
        <v>611.1</v>
      </c>
      <c r="M104" s="2"/>
      <c r="N104" s="22">
        <f t="shared" si="13"/>
        <v>0</v>
      </c>
      <c r="O104" s="11"/>
      <c r="P104" s="2">
        <v>2094.7399999999998</v>
      </c>
      <c r="Q104" s="2"/>
      <c r="R104" s="22">
        <f t="shared" si="14"/>
        <v>4.4957442895748141E-4</v>
      </c>
      <c r="S104" s="2"/>
      <c r="T104" s="2"/>
      <c r="U104" s="2"/>
      <c r="V104" s="22">
        <f t="shared" si="15"/>
        <v>0</v>
      </c>
      <c r="W104" s="2"/>
      <c r="X104" s="2">
        <f t="shared" si="16"/>
        <v>2094.7399999999998</v>
      </c>
      <c r="Y104" s="2"/>
      <c r="Z104" s="22">
        <f t="shared" si="17"/>
        <v>0</v>
      </c>
    </row>
    <row r="105" spans="1:26" s="24" customFormat="1" hidden="1" outlineLevel="1" x14ac:dyDescent="0.25">
      <c r="A105" s="51"/>
      <c r="B105" s="11" t="str">
        <f>CONCATENATE("          ", "5014", " - ", "PURCHASES @ COST-REMAINDERS")</f>
        <v xml:space="preserve">          5014 - PURCHASES @ COST-REMAINDERS</v>
      </c>
      <c r="C105" s="11"/>
      <c r="D105" s="2"/>
      <c r="E105" s="2"/>
      <c r="F105" s="22">
        <f t="shared" si="10"/>
        <v>0</v>
      </c>
      <c r="G105" s="2"/>
      <c r="H105" s="2"/>
      <c r="I105" s="2"/>
      <c r="J105" s="22">
        <f t="shared" si="11"/>
        <v>0</v>
      </c>
      <c r="K105" s="2"/>
      <c r="L105" s="2">
        <f t="shared" si="12"/>
        <v>0</v>
      </c>
      <c r="M105" s="2"/>
      <c r="N105" s="22">
        <f t="shared" si="13"/>
        <v>0</v>
      </c>
      <c r="O105" s="11"/>
      <c r="P105" s="2">
        <v>90.41</v>
      </c>
      <c r="Q105" s="2"/>
      <c r="R105" s="22">
        <f t="shared" si="14"/>
        <v>1.9403851610245614E-5</v>
      </c>
      <c r="S105" s="2"/>
      <c r="T105" s="2"/>
      <c r="U105" s="2"/>
      <c r="V105" s="22">
        <f t="shared" si="15"/>
        <v>0</v>
      </c>
      <c r="W105" s="2"/>
      <c r="X105" s="2">
        <f t="shared" si="16"/>
        <v>90.41</v>
      </c>
      <c r="Y105" s="2"/>
      <c r="Z105" s="22">
        <f t="shared" si="17"/>
        <v>0</v>
      </c>
    </row>
    <row r="106" spans="1:26" s="24" customFormat="1" hidden="1" outlineLevel="1" x14ac:dyDescent="0.25">
      <c r="A106" s="51"/>
      <c r="B106" s="11" t="str">
        <f>CONCATENATE("          ", "5018", " - ", "PURCHASES @ COST-STUDY GUIDES")</f>
        <v xml:space="preserve">          5018 - PURCHASES @ COST-STUDY GUIDES</v>
      </c>
      <c r="C106" s="11"/>
      <c r="D106" s="2">
        <v>106.34</v>
      </c>
      <c r="E106" s="2"/>
      <c r="F106" s="22">
        <f t="shared" si="10"/>
        <v>2.6887024636443622E-4</v>
      </c>
      <c r="G106" s="2"/>
      <c r="H106" s="2"/>
      <c r="I106" s="2"/>
      <c r="J106" s="22">
        <f t="shared" si="11"/>
        <v>0</v>
      </c>
      <c r="K106" s="2"/>
      <c r="L106" s="2">
        <f t="shared" si="12"/>
        <v>106.34</v>
      </c>
      <c r="M106" s="2"/>
      <c r="N106" s="22">
        <f t="shared" si="13"/>
        <v>0</v>
      </c>
      <c r="O106" s="11"/>
      <c r="P106" s="2">
        <v>106.34</v>
      </c>
      <c r="Q106" s="2"/>
      <c r="R106" s="22">
        <f t="shared" si="14"/>
        <v>2.2822758325777223E-5</v>
      </c>
      <c r="S106" s="2"/>
      <c r="T106" s="2"/>
      <c r="U106" s="2"/>
      <c r="V106" s="22">
        <f t="shared" si="15"/>
        <v>0</v>
      </c>
      <c r="W106" s="2"/>
      <c r="X106" s="2">
        <f t="shared" si="16"/>
        <v>106.34</v>
      </c>
      <c r="Y106" s="2"/>
      <c r="Z106" s="22">
        <f t="shared" si="17"/>
        <v>0</v>
      </c>
    </row>
    <row r="107" spans="1:26" s="24" customFormat="1" hidden="1" outlineLevel="1" x14ac:dyDescent="0.25">
      <c r="A107" s="51"/>
      <c r="B107" s="11" t="str">
        <f>CONCATENATE("          ", "5025", " - ", "PURCHASES @ COST-TEST FORMS")</f>
        <v xml:space="preserve">          5025 - PURCHASES @ COST-TEST FORMS</v>
      </c>
      <c r="C107" s="11"/>
      <c r="D107" s="2"/>
      <c r="E107" s="2"/>
      <c r="F107" s="22">
        <f t="shared" si="10"/>
        <v>0</v>
      </c>
      <c r="G107" s="2"/>
      <c r="H107" s="2"/>
      <c r="I107" s="2"/>
      <c r="J107" s="22">
        <f t="shared" si="11"/>
        <v>0</v>
      </c>
      <c r="K107" s="2"/>
      <c r="L107" s="2">
        <f t="shared" si="12"/>
        <v>0</v>
      </c>
      <c r="M107" s="2"/>
      <c r="N107" s="22">
        <f t="shared" si="13"/>
        <v>0</v>
      </c>
      <c r="O107" s="11"/>
      <c r="P107" s="2">
        <v>599.29</v>
      </c>
      <c r="Q107" s="2"/>
      <c r="R107" s="22">
        <f t="shared" si="14"/>
        <v>1.2862000034845805E-4</v>
      </c>
      <c r="S107" s="2"/>
      <c r="T107" s="2"/>
      <c r="U107" s="2"/>
      <c r="V107" s="22">
        <f t="shared" si="15"/>
        <v>0</v>
      </c>
      <c r="W107" s="2"/>
      <c r="X107" s="2">
        <f t="shared" si="16"/>
        <v>599.29</v>
      </c>
      <c r="Y107" s="2"/>
      <c r="Z107" s="22">
        <f t="shared" si="17"/>
        <v>0</v>
      </c>
    </row>
    <row r="108" spans="1:26" s="24" customFormat="1" hidden="1" outlineLevel="1" x14ac:dyDescent="0.25">
      <c r="A108" s="51"/>
      <c r="B108" s="11" t="str">
        <f>CONCATENATE("          ", "5026", " - ", "PURCHASES @ COST-WRITING INSTR")</f>
        <v xml:space="preserve">          5026 - PURCHASES @ COST-WRITING INSTR</v>
      </c>
      <c r="C108" s="11"/>
      <c r="D108" s="2"/>
      <c r="E108" s="2"/>
      <c r="F108" s="22">
        <f t="shared" si="10"/>
        <v>0</v>
      </c>
      <c r="G108" s="2"/>
      <c r="H108" s="2"/>
      <c r="I108" s="2"/>
      <c r="J108" s="22">
        <f t="shared" si="11"/>
        <v>0</v>
      </c>
      <c r="K108" s="2"/>
      <c r="L108" s="2">
        <f t="shared" si="12"/>
        <v>0</v>
      </c>
      <c r="M108" s="2"/>
      <c r="N108" s="22">
        <f t="shared" si="13"/>
        <v>0</v>
      </c>
      <c r="O108" s="11"/>
      <c r="P108" s="2">
        <v>380.02</v>
      </c>
      <c r="Q108" s="2"/>
      <c r="R108" s="22">
        <f t="shared" si="14"/>
        <v>8.1560133712261232E-5</v>
      </c>
      <c r="S108" s="2"/>
      <c r="T108" s="2"/>
      <c r="U108" s="2"/>
      <c r="V108" s="22">
        <f t="shared" si="15"/>
        <v>0</v>
      </c>
      <c r="W108" s="2"/>
      <c r="X108" s="2">
        <f t="shared" si="16"/>
        <v>380.02</v>
      </c>
      <c r="Y108" s="2"/>
      <c r="Z108" s="22">
        <f t="shared" si="17"/>
        <v>0</v>
      </c>
    </row>
    <row r="109" spans="1:26" s="24" customFormat="1" hidden="1" outlineLevel="1" x14ac:dyDescent="0.25">
      <c r="A109" s="51"/>
      <c r="B109" s="11" t="str">
        <f>CONCATENATE("          ", "5027", " - ", "PURCHASES @ COST-SCHOOL SUPPLI")</f>
        <v xml:space="preserve">          5027 - PURCHASES @ COST-SCHOOL SUPPLI</v>
      </c>
      <c r="C109" s="11"/>
      <c r="D109" s="2"/>
      <c r="E109" s="2"/>
      <c r="F109" s="22">
        <f t="shared" si="10"/>
        <v>0</v>
      </c>
      <c r="G109" s="2"/>
      <c r="H109" s="2"/>
      <c r="I109" s="2"/>
      <c r="J109" s="22">
        <f t="shared" si="11"/>
        <v>0</v>
      </c>
      <c r="K109" s="2"/>
      <c r="L109" s="2">
        <f t="shared" si="12"/>
        <v>0</v>
      </c>
      <c r="M109" s="2"/>
      <c r="N109" s="22">
        <f t="shared" si="13"/>
        <v>0</v>
      </c>
      <c r="O109" s="11"/>
      <c r="P109" s="2">
        <v>19071.350000000002</v>
      </c>
      <c r="Q109" s="2"/>
      <c r="R109" s="22">
        <f t="shared" si="14"/>
        <v>4.093105247285231E-3</v>
      </c>
      <c r="S109" s="2"/>
      <c r="T109" s="2"/>
      <c r="U109" s="2"/>
      <c r="V109" s="22">
        <f t="shared" si="15"/>
        <v>0</v>
      </c>
      <c r="W109" s="2"/>
      <c r="X109" s="2">
        <f t="shared" si="16"/>
        <v>19071.350000000002</v>
      </c>
      <c r="Y109" s="2"/>
      <c r="Z109" s="22">
        <f t="shared" si="17"/>
        <v>0</v>
      </c>
    </row>
    <row r="110" spans="1:26" s="24" customFormat="1" hidden="1" outlineLevel="1" x14ac:dyDescent="0.25">
      <c r="A110" s="51"/>
      <c r="B110" s="11" t="str">
        <f>CONCATENATE("          ", "5028", " - ", "PURCHASES @ COST-ART/TECH")</f>
        <v xml:space="preserve">          5028 - PURCHASES @ COST-ART/TECH</v>
      </c>
      <c r="C110" s="11"/>
      <c r="D110" s="2">
        <v>15.89</v>
      </c>
      <c r="E110" s="2"/>
      <c r="F110" s="22">
        <f t="shared" si="10"/>
        <v>4.0176304445466351E-5</v>
      </c>
      <c r="G110" s="2"/>
      <c r="H110" s="2"/>
      <c r="I110" s="2"/>
      <c r="J110" s="22">
        <f t="shared" si="11"/>
        <v>0</v>
      </c>
      <c r="K110" s="2"/>
      <c r="L110" s="2">
        <f t="shared" si="12"/>
        <v>15.89</v>
      </c>
      <c r="M110" s="2"/>
      <c r="N110" s="22">
        <f t="shared" si="13"/>
        <v>0</v>
      </c>
      <c r="O110" s="11"/>
      <c r="P110" s="2">
        <v>41358.449999999997</v>
      </c>
      <c r="Q110" s="2"/>
      <c r="R110" s="22">
        <f t="shared" si="14"/>
        <v>8.8763768015679978E-3</v>
      </c>
      <c r="S110" s="2"/>
      <c r="T110" s="2"/>
      <c r="U110" s="2"/>
      <c r="V110" s="22">
        <f t="shared" si="15"/>
        <v>0</v>
      </c>
      <c r="W110" s="2"/>
      <c r="X110" s="2">
        <f t="shared" si="16"/>
        <v>41358.449999999997</v>
      </c>
      <c r="Y110" s="2"/>
      <c r="Z110" s="22">
        <f t="shared" si="17"/>
        <v>0</v>
      </c>
    </row>
    <row r="111" spans="1:26" s="24" customFormat="1" hidden="1" outlineLevel="1" x14ac:dyDescent="0.25">
      <c r="A111" s="51"/>
      <c r="B111" s="11" t="str">
        <f>CONCATENATE("          ", "5031", " - ", "PURCHASES @ COST-FOOD")</f>
        <v xml:space="preserve">          5031 - PURCHASES @ COST-FOOD</v>
      </c>
      <c r="C111" s="11"/>
      <c r="D111" s="2"/>
      <c r="E111" s="2"/>
      <c r="F111" s="22">
        <f t="shared" si="10"/>
        <v>0</v>
      </c>
      <c r="G111" s="2"/>
      <c r="H111" s="2"/>
      <c r="I111" s="2"/>
      <c r="J111" s="22">
        <f t="shared" si="11"/>
        <v>0</v>
      </c>
      <c r="K111" s="2"/>
      <c r="L111" s="2">
        <f t="shared" si="12"/>
        <v>0</v>
      </c>
      <c r="M111" s="2"/>
      <c r="N111" s="22">
        <f t="shared" si="13"/>
        <v>0</v>
      </c>
      <c r="O111" s="11"/>
      <c r="P111" s="2">
        <v>8535.1</v>
      </c>
      <c r="Q111" s="2"/>
      <c r="R111" s="22">
        <f t="shared" si="14"/>
        <v>1.8318085817786455E-3</v>
      </c>
      <c r="S111" s="2"/>
      <c r="T111" s="2"/>
      <c r="U111" s="2"/>
      <c r="V111" s="22">
        <f t="shared" si="15"/>
        <v>0</v>
      </c>
      <c r="W111" s="2"/>
      <c r="X111" s="2">
        <f t="shared" si="16"/>
        <v>8535.1</v>
      </c>
      <c r="Y111" s="2"/>
      <c r="Z111" s="22">
        <f t="shared" si="17"/>
        <v>0</v>
      </c>
    </row>
    <row r="112" spans="1:26" s="24" customFormat="1" hidden="1" outlineLevel="1" x14ac:dyDescent="0.25">
      <c r="A112" s="51"/>
      <c r="B112" s="11" t="str">
        <f>CONCATENATE("          ", "5040", " - ", "PURCHASES @ COST-LOGO CLOTHING")</f>
        <v xml:space="preserve">          5040 - PURCHASES @ COST-LOGO CLOTHING</v>
      </c>
      <c r="C112" s="11"/>
      <c r="D112" s="2">
        <v>55124.33</v>
      </c>
      <c r="E112" s="2"/>
      <c r="F112" s="22">
        <f t="shared" si="10"/>
        <v>0.13937645465275986</v>
      </c>
      <c r="G112" s="2"/>
      <c r="H112" s="2"/>
      <c r="I112" s="2"/>
      <c r="J112" s="22">
        <f t="shared" si="11"/>
        <v>0</v>
      </c>
      <c r="K112" s="2"/>
      <c r="L112" s="2">
        <f t="shared" si="12"/>
        <v>55124.33</v>
      </c>
      <c r="M112" s="2"/>
      <c r="N112" s="22">
        <f t="shared" si="13"/>
        <v>0</v>
      </c>
      <c r="O112" s="11"/>
      <c r="P112" s="2">
        <v>94295.28</v>
      </c>
      <c r="Q112" s="2"/>
      <c r="R112" s="22">
        <f t="shared" si="14"/>
        <v>2.0237712870993928E-2</v>
      </c>
      <c r="S112" s="2"/>
      <c r="T112" s="2"/>
      <c r="U112" s="2"/>
      <c r="V112" s="22">
        <f t="shared" si="15"/>
        <v>0</v>
      </c>
      <c r="W112" s="2"/>
      <c r="X112" s="2">
        <f t="shared" si="16"/>
        <v>94295.28</v>
      </c>
      <c r="Y112" s="2"/>
      <c r="Z112" s="22">
        <f t="shared" si="17"/>
        <v>0</v>
      </c>
    </row>
    <row r="113" spans="1:26" s="24" customFormat="1" hidden="1" outlineLevel="1" x14ac:dyDescent="0.25">
      <c r="A113" s="51"/>
      <c r="B113" s="11" t="str">
        <f>CONCATENATE("          ", "5041", " - ", "PURCHASES @ COST-LOGO GIFTS")</f>
        <v xml:space="preserve">          5041 - PURCHASES @ COST-LOGO GIFTS</v>
      </c>
      <c r="C113" s="11"/>
      <c r="D113" s="2">
        <v>9354.43</v>
      </c>
      <c r="E113" s="2"/>
      <c r="F113" s="22">
        <f t="shared" si="10"/>
        <v>2.365175755782277E-2</v>
      </c>
      <c r="G113" s="2"/>
      <c r="H113" s="2"/>
      <c r="I113" s="2"/>
      <c r="J113" s="22">
        <f t="shared" si="11"/>
        <v>0</v>
      </c>
      <c r="K113" s="2"/>
      <c r="L113" s="2">
        <f t="shared" si="12"/>
        <v>9354.43</v>
      </c>
      <c r="M113" s="2"/>
      <c r="N113" s="22">
        <f t="shared" si="13"/>
        <v>0</v>
      </c>
      <c r="O113" s="11"/>
      <c r="P113" s="2">
        <v>26641.769999999997</v>
      </c>
      <c r="Q113" s="2"/>
      <c r="R113" s="22">
        <f t="shared" si="14"/>
        <v>5.7178735948931894E-3</v>
      </c>
      <c r="S113" s="2"/>
      <c r="T113" s="2"/>
      <c r="U113" s="2"/>
      <c r="V113" s="22">
        <f t="shared" si="15"/>
        <v>0</v>
      </c>
      <c r="W113" s="2"/>
      <c r="X113" s="2">
        <f t="shared" si="16"/>
        <v>26641.769999999997</v>
      </c>
      <c r="Y113" s="2"/>
      <c r="Z113" s="22">
        <f t="shared" si="17"/>
        <v>0</v>
      </c>
    </row>
    <row r="114" spans="1:26" s="24" customFormat="1" hidden="1" outlineLevel="1" x14ac:dyDescent="0.25">
      <c r="A114" s="51"/>
      <c r="B114" s="11" t="str">
        <f>CONCATENATE("          ", "5042", " - ", "PURCHASES @ COST-EVERYDAY GIFT")</f>
        <v xml:space="preserve">          5042 - PURCHASES @ COST-EVERYDAY GIFT</v>
      </c>
      <c r="C114" s="11"/>
      <c r="D114" s="2"/>
      <c r="E114" s="2"/>
      <c r="F114" s="22">
        <f t="shared" si="10"/>
        <v>0</v>
      </c>
      <c r="G114" s="2"/>
      <c r="H114" s="2"/>
      <c r="I114" s="2"/>
      <c r="J114" s="22">
        <f t="shared" si="11"/>
        <v>0</v>
      </c>
      <c r="K114" s="2"/>
      <c r="L114" s="2">
        <f t="shared" si="12"/>
        <v>0</v>
      </c>
      <c r="M114" s="2"/>
      <c r="N114" s="22">
        <f t="shared" si="13"/>
        <v>0</v>
      </c>
      <c r="O114" s="11"/>
      <c r="P114" s="2">
        <v>10912.68</v>
      </c>
      <c r="Q114" s="2"/>
      <c r="R114" s="22">
        <f t="shared" si="14"/>
        <v>2.3420863111392005E-3</v>
      </c>
      <c r="S114" s="2"/>
      <c r="T114" s="2"/>
      <c r="U114" s="2"/>
      <c r="V114" s="22">
        <f t="shared" si="15"/>
        <v>0</v>
      </c>
      <c r="W114" s="2"/>
      <c r="X114" s="2">
        <f t="shared" si="16"/>
        <v>10912.68</v>
      </c>
      <c r="Y114" s="2"/>
      <c r="Z114" s="22">
        <f t="shared" si="17"/>
        <v>0</v>
      </c>
    </row>
    <row r="115" spans="1:26" s="24" customFormat="1" hidden="1" outlineLevel="1" x14ac:dyDescent="0.25">
      <c r="A115" s="51"/>
      <c r="B115" s="11" t="str">
        <f>CONCATENATE("          ", "5043", " - ", "PURCHASES @ COST-CARDS")</f>
        <v xml:space="preserve">          5043 - PURCHASES @ COST-CARDS</v>
      </c>
      <c r="C115" s="11"/>
      <c r="D115" s="2">
        <v>38530.230000000003</v>
      </c>
      <c r="E115" s="2"/>
      <c r="F115" s="22">
        <f t="shared" si="10"/>
        <v>9.7419902506849662E-2</v>
      </c>
      <c r="G115" s="2"/>
      <c r="H115" s="2"/>
      <c r="I115" s="2"/>
      <c r="J115" s="22">
        <f t="shared" si="11"/>
        <v>0</v>
      </c>
      <c r="K115" s="2"/>
      <c r="L115" s="2">
        <f t="shared" si="12"/>
        <v>38530.230000000003</v>
      </c>
      <c r="M115" s="2"/>
      <c r="N115" s="22">
        <f t="shared" si="13"/>
        <v>0</v>
      </c>
      <c r="O115" s="11"/>
      <c r="P115" s="2">
        <v>44173.23</v>
      </c>
      <c r="Q115" s="2"/>
      <c r="R115" s="22">
        <f t="shared" si="14"/>
        <v>9.4804866725500484E-3</v>
      </c>
      <c r="S115" s="2"/>
      <c r="T115" s="2"/>
      <c r="U115" s="2"/>
      <c r="V115" s="22">
        <f t="shared" si="15"/>
        <v>0</v>
      </c>
      <c r="W115" s="2"/>
      <c r="X115" s="2">
        <f t="shared" si="16"/>
        <v>44173.23</v>
      </c>
      <c r="Y115" s="2"/>
      <c r="Z115" s="22">
        <f t="shared" si="17"/>
        <v>0</v>
      </c>
    </row>
    <row r="116" spans="1:26" s="24" customFormat="1" hidden="1" outlineLevel="1" x14ac:dyDescent="0.25">
      <c r="A116" s="51"/>
      <c r="B116" s="11" t="str">
        <f>CONCATENATE("          ", "5044", " - ", "PURCHASES @ COST-ACCESSORIES")</f>
        <v xml:space="preserve">          5044 - PURCHASES @ COST-ACCESSORIES</v>
      </c>
      <c r="C116" s="11"/>
      <c r="D116" s="2">
        <v>282.33</v>
      </c>
      <c r="E116" s="2"/>
      <c r="F116" s="22">
        <f t="shared" si="10"/>
        <v>7.1384367741274474E-4</v>
      </c>
      <c r="G116" s="2"/>
      <c r="H116" s="2"/>
      <c r="I116" s="2"/>
      <c r="J116" s="22">
        <f t="shared" si="11"/>
        <v>0</v>
      </c>
      <c r="K116" s="2"/>
      <c r="L116" s="2">
        <f t="shared" si="12"/>
        <v>282.33</v>
      </c>
      <c r="M116" s="2"/>
      <c r="N116" s="22">
        <f t="shared" si="13"/>
        <v>0</v>
      </c>
      <c r="O116" s="11"/>
      <c r="P116" s="2">
        <v>282.33</v>
      </c>
      <c r="Q116" s="2"/>
      <c r="R116" s="22">
        <f t="shared" si="14"/>
        <v>6.0593843879224021E-5</v>
      </c>
      <c r="S116" s="2"/>
      <c r="T116" s="2"/>
      <c r="U116" s="2"/>
      <c r="V116" s="22">
        <f t="shared" si="15"/>
        <v>0</v>
      </c>
      <c r="W116" s="2"/>
      <c r="X116" s="2">
        <f t="shared" si="16"/>
        <v>282.33</v>
      </c>
      <c r="Y116" s="2"/>
      <c r="Z116" s="22">
        <f t="shared" si="17"/>
        <v>0</v>
      </c>
    </row>
    <row r="117" spans="1:26" s="24" customFormat="1" hidden="1" outlineLevel="1" x14ac:dyDescent="0.25">
      <c r="A117" s="51"/>
      <c r="B117" s="11" t="str">
        <f>CONCATENATE("          ", "5045", " - ", "PURCHASES @ COST-SPECIAL ORDER")</f>
        <v xml:space="preserve">          5045 - PURCHASES @ COST-SPECIAL ORDER</v>
      </c>
      <c r="C117" s="11"/>
      <c r="D117" s="2">
        <v>5678</v>
      </c>
      <c r="E117" s="2"/>
      <c r="F117" s="22">
        <f t="shared" si="10"/>
        <v>1.4356265364465572E-2</v>
      </c>
      <c r="G117" s="2"/>
      <c r="H117" s="2"/>
      <c r="I117" s="2"/>
      <c r="J117" s="22">
        <f t="shared" si="11"/>
        <v>0</v>
      </c>
      <c r="K117" s="2"/>
      <c r="L117" s="2">
        <f t="shared" si="12"/>
        <v>5678</v>
      </c>
      <c r="M117" s="2"/>
      <c r="N117" s="22">
        <f t="shared" si="13"/>
        <v>0</v>
      </c>
      <c r="O117" s="11"/>
      <c r="P117" s="2">
        <v>76932.51999999999</v>
      </c>
      <c r="Q117" s="2"/>
      <c r="R117" s="22">
        <f t="shared" si="14"/>
        <v>1.6511306294461372E-2</v>
      </c>
      <c r="S117" s="2"/>
      <c r="T117" s="2"/>
      <c r="U117" s="2"/>
      <c r="V117" s="22">
        <f t="shared" si="15"/>
        <v>0</v>
      </c>
      <c r="W117" s="2"/>
      <c r="X117" s="2">
        <f t="shared" si="16"/>
        <v>76932.51999999999</v>
      </c>
      <c r="Y117" s="2"/>
      <c r="Z117" s="22">
        <f t="shared" si="17"/>
        <v>0</v>
      </c>
    </row>
    <row r="118" spans="1:26" s="24" customFormat="1" hidden="1" outlineLevel="1" x14ac:dyDescent="0.25">
      <c r="A118" s="51"/>
      <c r="B118" s="11" t="str">
        <f>CONCATENATE("          ", "5053", " - ", "PURCHASES @ COST-FOOD")</f>
        <v xml:space="preserve">          5053 - PURCHASES @ COST-FOOD</v>
      </c>
      <c r="C118" s="11"/>
      <c r="D118" s="2">
        <v>39551.18</v>
      </c>
      <c r="E118" s="2"/>
      <c r="F118" s="22">
        <f t="shared" si="10"/>
        <v>0.10000127431450219</v>
      </c>
      <c r="G118" s="2"/>
      <c r="H118" s="2"/>
      <c r="I118" s="2"/>
      <c r="J118" s="22">
        <f t="shared" si="11"/>
        <v>0</v>
      </c>
      <c r="K118" s="2"/>
      <c r="L118" s="2">
        <f t="shared" si="12"/>
        <v>39551.18</v>
      </c>
      <c r="M118" s="2"/>
      <c r="N118" s="22">
        <f t="shared" si="13"/>
        <v>0</v>
      </c>
      <c r="O118" s="11"/>
      <c r="P118" s="2">
        <v>232232.47</v>
      </c>
      <c r="Q118" s="2"/>
      <c r="R118" s="22">
        <f t="shared" si="14"/>
        <v>4.9841880178750318E-2</v>
      </c>
      <c r="S118" s="2"/>
      <c r="T118" s="2"/>
      <c r="U118" s="2"/>
      <c r="V118" s="22">
        <f t="shared" si="15"/>
        <v>0</v>
      </c>
      <c r="W118" s="2"/>
      <c r="X118" s="2">
        <f t="shared" si="16"/>
        <v>232232.47</v>
      </c>
      <c r="Y118" s="2"/>
      <c r="Z118" s="22">
        <f t="shared" si="17"/>
        <v>0</v>
      </c>
    </row>
    <row r="119" spans="1:26" s="24" customFormat="1" hidden="1" outlineLevel="1" x14ac:dyDescent="0.25">
      <c r="A119" s="51"/>
      <c r="B119" s="11" t="str">
        <f>CONCATENATE("          ", "5059", " - ", "PURCHASES @ COST-FOOD")</f>
        <v xml:space="preserve">          5059 - PURCHASES @ COST-FOOD</v>
      </c>
      <c r="C119" s="11"/>
      <c r="D119" s="2">
        <v>4551</v>
      </c>
      <c r="E119" s="2"/>
      <c r="F119" s="22">
        <f t="shared" si="10"/>
        <v>1.1506756546967738E-2</v>
      </c>
      <c r="G119" s="2"/>
      <c r="H119" s="2"/>
      <c r="I119" s="2"/>
      <c r="J119" s="22">
        <f t="shared" si="11"/>
        <v>0</v>
      </c>
      <c r="K119" s="2"/>
      <c r="L119" s="2">
        <f t="shared" si="12"/>
        <v>4551</v>
      </c>
      <c r="M119" s="2"/>
      <c r="N119" s="22">
        <f t="shared" si="13"/>
        <v>0</v>
      </c>
      <c r="O119" s="11"/>
      <c r="P119" s="2">
        <v>7519.29</v>
      </c>
      <c r="Q119" s="2"/>
      <c r="R119" s="22">
        <f t="shared" si="14"/>
        <v>1.6137947945404684E-3</v>
      </c>
      <c r="S119" s="2"/>
      <c r="T119" s="2"/>
      <c r="U119" s="2"/>
      <c r="V119" s="22">
        <f t="shared" si="15"/>
        <v>0</v>
      </c>
      <c r="W119" s="2"/>
      <c r="X119" s="2">
        <f t="shared" si="16"/>
        <v>7519.29</v>
      </c>
      <c r="Y119" s="2"/>
      <c r="Z119" s="22">
        <f t="shared" si="17"/>
        <v>0</v>
      </c>
    </row>
    <row r="120" spans="1:26" s="24" customFormat="1" hidden="1" outlineLevel="1" x14ac:dyDescent="0.25">
      <c r="A120" s="51"/>
      <c r="B120" s="11" t="str">
        <f>CONCATENATE("          ", "5081", " - ", "PURCHASES @ COST-ELECTRONICS")</f>
        <v xml:space="preserve">          5081 - PURCHASES @ COST-ELECTRONICS</v>
      </c>
      <c r="C120" s="11"/>
      <c r="D120" s="2">
        <v>2367.86</v>
      </c>
      <c r="E120" s="2"/>
      <c r="F120" s="22">
        <f t="shared" si="10"/>
        <v>5.986901462822024E-3</v>
      </c>
      <c r="G120" s="2"/>
      <c r="H120" s="2"/>
      <c r="I120" s="2"/>
      <c r="J120" s="22">
        <f t="shared" si="11"/>
        <v>0</v>
      </c>
      <c r="K120" s="2"/>
      <c r="L120" s="2">
        <f t="shared" si="12"/>
        <v>2367.86</v>
      </c>
      <c r="M120" s="2"/>
      <c r="N120" s="22">
        <f t="shared" si="13"/>
        <v>0</v>
      </c>
      <c r="O120" s="11"/>
      <c r="P120" s="2">
        <v>24315.070000000003</v>
      </c>
      <c r="Q120" s="2"/>
      <c r="R120" s="22">
        <f t="shared" si="14"/>
        <v>5.2185157634413769E-3</v>
      </c>
      <c r="S120" s="2"/>
      <c r="T120" s="2"/>
      <c r="U120" s="2"/>
      <c r="V120" s="22">
        <f t="shared" si="15"/>
        <v>0</v>
      </c>
      <c r="W120" s="2"/>
      <c r="X120" s="2">
        <f t="shared" si="16"/>
        <v>24315.070000000003</v>
      </c>
      <c r="Y120" s="2"/>
      <c r="Z120" s="22">
        <f t="shared" si="17"/>
        <v>0</v>
      </c>
    </row>
    <row r="121" spans="1:26" s="24" customFormat="1" hidden="1" outlineLevel="1" x14ac:dyDescent="0.25">
      <c r="A121" s="51"/>
      <c r="B121" s="11" t="str">
        <f>CONCATENATE("          ", "5082", " - ", "PURCHASES @ COST-COMPUTER HARD")</f>
        <v xml:space="preserve">          5082 - PURCHASES @ COST-COMPUTER HARD</v>
      </c>
      <c r="C121" s="11"/>
      <c r="D121" s="2">
        <v>71242.03</v>
      </c>
      <c r="E121" s="2"/>
      <c r="F121" s="22">
        <f t="shared" si="10"/>
        <v>0.1801284761858431</v>
      </c>
      <c r="G121" s="2"/>
      <c r="H121" s="2"/>
      <c r="I121" s="2"/>
      <c r="J121" s="22">
        <f t="shared" si="11"/>
        <v>0</v>
      </c>
      <c r="K121" s="2"/>
      <c r="L121" s="2">
        <f t="shared" si="12"/>
        <v>71242.03</v>
      </c>
      <c r="M121" s="2"/>
      <c r="N121" s="22">
        <f t="shared" si="13"/>
        <v>0</v>
      </c>
      <c r="O121" s="11"/>
      <c r="P121" s="2">
        <v>960020.1100000001</v>
      </c>
      <c r="Q121" s="2"/>
      <c r="R121" s="22">
        <f t="shared" si="14"/>
        <v>0.20604012561986146</v>
      </c>
      <c r="S121" s="2"/>
      <c r="T121" s="2"/>
      <c r="U121" s="2"/>
      <c r="V121" s="22">
        <f t="shared" si="15"/>
        <v>0</v>
      </c>
      <c r="W121" s="2"/>
      <c r="X121" s="2">
        <f t="shared" si="16"/>
        <v>960020.1100000001</v>
      </c>
      <c r="Y121" s="2"/>
      <c r="Z121" s="22">
        <f t="shared" si="17"/>
        <v>0</v>
      </c>
    </row>
    <row r="122" spans="1:26" s="24" customFormat="1" hidden="1" outlineLevel="1" x14ac:dyDescent="0.25">
      <c r="A122" s="51"/>
      <c r="B122" s="11" t="str">
        <f>CONCATENATE("          ", "5083", " - ", "PURCHASES @ COST-COMPUTER EQUI")</f>
        <v xml:space="preserve">          5083 - PURCHASES @ COST-COMPUTER EQUI</v>
      </c>
      <c r="C122" s="11"/>
      <c r="D122" s="2">
        <v>2620.17</v>
      </c>
      <c r="E122" s="2"/>
      <c r="F122" s="22">
        <f t="shared" si="10"/>
        <v>6.6248425184944979E-3</v>
      </c>
      <c r="G122" s="2"/>
      <c r="H122" s="2"/>
      <c r="I122" s="2"/>
      <c r="J122" s="22">
        <f t="shared" si="11"/>
        <v>0</v>
      </c>
      <c r="K122" s="2"/>
      <c r="L122" s="2">
        <f t="shared" si="12"/>
        <v>2620.17</v>
      </c>
      <c r="M122" s="2"/>
      <c r="N122" s="22">
        <f t="shared" si="13"/>
        <v>0</v>
      </c>
      <c r="O122" s="11"/>
      <c r="P122" s="2">
        <v>75893.119999999995</v>
      </c>
      <c r="Q122" s="2"/>
      <c r="R122" s="22">
        <f t="shared" si="14"/>
        <v>1.6288229606443574E-2</v>
      </c>
      <c r="S122" s="2"/>
      <c r="T122" s="2"/>
      <c r="U122" s="2"/>
      <c r="V122" s="22">
        <f t="shared" si="15"/>
        <v>0</v>
      </c>
      <c r="W122" s="2"/>
      <c r="X122" s="2">
        <f t="shared" si="16"/>
        <v>75893.119999999995</v>
      </c>
      <c r="Y122" s="2"/>
      <c r="Z122" s="22">
        <f t="shared" si="17"/>
        <v>0</v>
      </c>
    </row>
    <row r="123" spans="1:26" s="24" customFormat="1" hidden="1" outlineLevel="1" x14ac:dyDescent="0.25">
      <c r="A123" s="51"/>
      <c r="B123" s="11" t="str">
        <f>CONCATENATE("          ", "5085", " - ", "PURCHASES @ COST-SOFTWARE")</f>
        <v xml:space="preserve">          5085 - PURCHASES @ COST-SOFTWARE</v>
      </c>
      <c r="C123" s="11"/>
      <c r="D123" s="2">
        <v>3394.72</v>
      </c>
      <c r="E123" s="2"/>
      <c r="F123" s="22">
        <f t="shared" si="10"/>
        <v>8.583216125054343E-3</v>
      </c>
      <c r="G123" s="2"/>
      <c r="H123" s="2"/>
      <c r="I123" s="2"/>
      <c r="J123" s="22">
        <f t="shared" si="11"/>
        <v>0</v>
      </c>
      <c r="K123" s="2"/>
      <c r="L123" s="2">
        <f t="shared" si="12"/>
        <v>3394.72</v>
      </c>
      <c r="M123" s="2"/>
      <c r="N123" s="22">
        <f t="shared" si="13"/>
        <v>0</v>
      </c>
      <c r="O123" s="11"/>
      <c r="P123" s="2">
        <v>24075.919999999998</v>
      </c>
      <c r="Q123" s="2"/>
      <c r="R123" s="22">
        <f t="shared" si="14"/>
        <v>5.167189238581402E-3</v>
      </c>
      <c r="S123" s="2"/>
      <c r="T123" s="2"/>
      <c r="U123" s="2"/>
      <c r="V123" s="22">
        <f t="shared" si="15"/>
        <v>0</v>
      </c>
      <c r="W123" s="2"/>
      <c r="X123" s="2">
        <f t="shared" si="16"/>
        <v>24075.919999999998</v>
      </c>
      <c r="Y123" s="2"/>
      <c r="Z123" s="22">
        <f t="shared" si="17"/>
        <v>0</v>
      </c>
    </row>
    <row r="124" spans="1:26" s="24" customFormat="1" hidden="1" outlineLevel="1" x14ac:dyDescent="0.25">
      <c r="A124" s="51"/>
      <c r="B124" s="11" t="str">
        <f>CONCATENATE("          ", "5086", " - ", "PURCHASES @ COST-COMPUTER SUPP")</f>
        <v xml:space="preserve">          5086 - PURCHASES @ COST-COMPUTER SUPP</v>
      </c>
      <c r="C124" s="11"/>
      <c r="D124" s="2">
        <v>189.17</v>
      </c>
      <c r="E124" s="2"/>
      <c r="F124" s="22">
        <f t="shared" si="10"/>
        <v>4.7829776664247127E-4</v>
      </c>
      <c r="G124" s="2"/>
      <c r="H124" s="2"/>
      <c r="I124" s="2"/>
      <c r="J124" s="22">
        <f t="shared" si="11"/>
        <v>0</v>
      </c>
      <c r="K124" s="2"/>
      <c r="L124" s="2">
        <f t="shared" si="12"/>
        <v>189.17</v>
      </c>
      <c r="M124" s="2"/>
      <c r="N124" s="22">
        <f t="shared" si="13"/>
        <v>0</v>
      </c>
      <c r="O124" s="11"/>
      <c r="P124" s="2">
        <v>22718.609999999997</v>
      </c>
      <c r="Q124" s="2"/>
      <c r="R124" s="22">
        <f t="shared" si="14"/>
        <v>4.8758825044911188E-3</v>
      </c>
      <c r="S124" s="2"/>
      <c r="T124" s="2"/>
      <c r="U124" s="2"/>
      <c r="V124" s="22">
        <f t="shared" si="15"/>
        <v>0</v>
      </c>
      <c r="W124" s="2"/>
      <c r="X124" s="2">
        <f t="shared" si="16"/>
        <v>22718.609999999997</v>
      </c>
      <c r="Y124" s="2"/>
      <c r="Z124" s="22">
        <f t="shared" si="17"/>
        <v>0</v>
      </c>
    </row>
    <row r="125" spans="1:26" s="24" customFormat="1" hidden="1" outlineLevel="1" x14ac:dyDescent="0.25">
      <c r="A125" s="51"/>
      <c r="B125" s="11" t="str">
        <f>CONCATENATE("          ", "5200", " - ", "PURCHASES OFFSET")</f>
        <v xml:space="preserve">          5200 - PURCHASES OFFSET</v>
      </c>
      <c r="C125" s="11"/>
      <c r="D125" s="2">
        <v>120893.79999999999</v>
      </c>
      <c r="E125" s="2"/>
      <c r="F125" s="22">
        <f t="shared" si="10"/>
        <v>0.30566810033790554</v>
      </c>
      <c r="G125" s="2"/>
      <c r="H125" s="2"/>
      <c r="I125" s="2"/>
      <c r="J125" s="22">
        <f t="shared" si="11"/>
        <v>0</v>
      </c>
      <c r="K125" s="2"/>
      <c r="L125" s="2">
        <f t="shared" si="12"/>
        <v>120893.79999999999</v>
      </c>
      <c r="M125" s="2"/>
      <c r="N125" s="22">
        <f t="shared" si="13"/>
        <v>0</v>
      </c>
      <c r="O125" s="11"/>
      <c r="P125" s="2">
        <v>-2675815.56</v>
      </c>
      <c r="Q125" s="2"/>
      <c r="R125" s="22">
        <f t="shared" si="14"/>
        <v>-0.57428523462699121</v>
      </c>
      <c r="S125" s="2"/>
      <c r="T125" s="2"/>
      <c r="U125" s="2"/>
      <c r="V125" s="22">
        <f t="shared" si="15"/>
        <v>0</v>
      </c>
      <c r="W125" s="2"/>
      <c r="X125" s="2">
        <f t="shared" si="16"/>
        <v>-2675815.56</v>
      </c>
      <c r="Y125" s="2"/>
      <c r="Z125" s="22">
        <f t="shared" si="17"/>
        <v>0</v>
      </c>
    </row>
    <row r="126" spans="1:26" s="24" customFormat="1" hidden="1" outlineLevel="1" x14ac:dyDescent="0.25">
      <c r="A126" s="51"/>
      <c r="B126" s="11" t="str">
        <f>CONCATENATE("          ", "5300", " - ", "COG$ OFFSET")</f>
        <v xml:space="preserve">          5300 - COG$ OFFSET</v>
      </c>
      <c r="C126" s="11"/>
      <c r="D126" s="2">
        <v>117369</v>
      </c>
      <c r="E126" s="2"/>
      <c r="F126" s="22">
        <f t="shared" si="10"/>
        <v>0.29675598970798867</v>
      </c>
      <c r="G126" s="2"/>
      <c r="H126" s="2"/>
      <c r="I126" s="2"/>
      <c r="J126" s="22">
        <f t="shared" si="11"/>
        <v>0</v>
      </c>
      <c r="K126" s="2"/>
      <c r="L126" s="2">
        <f t="shared" si="12"/>
        <v>117369</v>
      </c>
      <c r="M126" s="2"/>
      <c r="N126" s="22">
        <f t="shared" si="13"/>
        <v>0</v>
      </c>
      <c r="O126" s="11"/>
      <c r="P126" s="2">
        <v>2394333</v>
      </c>
      <c r="Q126" s="2"/>
      <c r="R126" s="22">
        <f t="shared" si="14"/>
        <v>0.51387326885869056</v>
      </c>
      <c r="S126" s="2"/>
      <c r="T126" s="2"/>
      <c r="U126" s="2"/>
      <c r="V126" s="22">
        <f t="shared" si="15"/>
        <v>0</v>
      </c>
      <c r="W126" s="2"/>
      <c r="X126" s="2">
        <f t="shared" si="16"/>
        <v>2394333</v>
      </c>
      <c r="Y126" s="2"/>
      <c r="Z126" s="22">
        <f t="shared" si="17"/>
        <v>0</v>
      </c>
    </row>
    <row r="127" spans="1:26" s="24" customFormat="1" hidden="1" outlineLevel="1" x14ac:dyDescent="0.25">
      <c r="A127" s="51"/>
      <c r="B127" s="11" t="str">
        <f>CONCATENATE("          ", "5501", " - ", "FREIGHT-IN-NEW TEXT")</f>
        <v xml:space="preserve">          5501 - FREIGHT-IN-NEW TEXT</v>
      </c>
      <c r="C127" s="11"/>
      <c r="D127" s="2">
        <v>990.19</v>
      </c>
      <c r="E127" s="2"/>
      <c r="F127" s="22">
        <f t="shared" si="10"/>
        <v>2.5035981685875598E-3</v>
      </c>
      <c r="G127" s="2"/>
      <c r="H127" s="2"/>
      <c r="I127" s="2"/>
      <c r="J127" s="22">
        <f t="shared" si="11"/>
        <v>0</v>
      </c>
      <c r="K127" s="2"/>
      <c r="L127" s="2">
        <f t="shared" si="12"/>
        <v>990.19</v>
      </c>
      <c r="M127" s="2"/>
      <c r="N127" s="22">
        <f t="shared" si="13"/>
        <v>0</v>
      </c>
      <c r="O127" s="11"/>
      <c r="P127" s="2">
        <v>35048.81</v>
      </c>
      <c r="Q127" s="2"/>
      <c r="R127" s="22">
        <f t="shared" si="14"/>
        <v>7.5221978581538826E-3</v>
      </c>
      <c r="S127" s="2"/>
      <c r="T127" s="2"/>
      <c r="U127" s="2"/>
      <c r="V127" s="22">
        <f t="shared" si="15"/>
        <v>0</v>
      </c>
      <c r="W127" s="2"/>
      <c r="X127" s="2">
        <f t="shared" si="16"/>
        <v>35048.81</v>
      </c>
      <c r="Y127" s="2"/>
      <c r="Z127" s="22">
        <f t="shared" si="17"/>
        <v>0</v>
      </c>
    </row>
    <row r="128" spans="1:26" s="24" customFormat="1" hidden="1" outlineLevel="1" x14ac:dyDescent="0.25">
      <c r="A128" s="51"/>
      <c r="B128" s="11" t="str">
        <f>CONCATENATE("          ", "5502", " - ", "FREIGHT-IN-USED TEXT")</f>
        <v xml:space="preserve">          5502 - FREIGHT-IN-USED TEXT</v>
      </c>
      <c r="C128" s="11"/>
      <c r="D128" s="2">
        <v>388.37</v>
      </c>
      <c r="E128" s="2"/>
      <c r="F128" s="22">
        <f t="shared" si="10"/>
        <v>9.8195540324013623E-4</v>
      </c>
      <c r="G128" s="2"/>
      <c r="H128" s="2"/>
      <c r="I128" s="2"/>
      <c r="J128" s="22">
        <f t="shared" si="11"/>
        <v>0</v>
      </c>
      <c r="K128" s="2"/>
      <c r="L128" s="2">
        <f t="shared" si="12"/>
        <v>388.37</v>
      </c>
      <c r="M128" s="2"/>
      <c r="N128" s="22">
        <f t="shared" si="13"/>
        <v>0</v>
      </c>
      <c r="O128" s="11"/>
      <c r="P128" s="2">
        <v>11133.09</v>
      </c>
      <c r="Q128" s="2"/>
      <c r="R128" s="22">
        <f t="shared" si="14"/>
        <v>2.3893908452992958E-3</v>
      </c>
      <c r="S128" s="2"/>
      <c r="T128" s="2"/>
      <c r="U128" s="2"/>
      <c r="V128" s="22">
        <f t="shared" si="15"/>
        <v>0</v>
      </c>
      <c r="W128" s="2"/>
      <c r="X128" s="2">
        <f t="shared" si="16"/>
        <v>11133.09</v>
      </c>
      <c r="Y128" s="2"/>
      <c r="Z128" s="22">
        <f t="shared" si="17"/>
        <v>0</v>
      </c>
    </row>
    <row r="129" spans="1:26" s="24" customFormat="1" hidden="1" outlineLevel="1" x14ac:dyDescent="0.25">
      <c r="A129" s="51"/>
      <c r="B129" s="11" t="str">
        <f>CONCATENATE("          ", "5504", " - ", "FREIGHT-IN-DIGITAL TEXT")</f>
        <v xml:space="preserve">          5504 - FREIGHT-IN-DIGITAL TEXT</v>
      </c>
      <c r="C129" s="11"/>
      <c r="D129" s="2"/>
      <c r="E129" s="2"/>
      <c r="F129" s="22">
        <f t="shared" si="10"/>
        <v>0</v>
      </c>
      <c r="G129" s="2"/>
      <c r="H129" s="2"/>
      <c r="I129" s="2"/>
      <c r="J129" s="22">
        <f t="shared" si="11"/>
        <v>0</v>
      </c>
      <c r="K129" s="2"/>
      <c r="L129" s="2">
        <f t="shared" si="12"/>
        <v>0</v>
      </c>
      <c r="M129" s="2"/>
      <c r="N129" s="22">
        <f t="shared" si="13"/>
        <v>0</v>
      </c>
      <c r="O129" s="11"/>
      <c r="P129" s="2">
        <v>21.98</v>
      </c>
      <c r="Q129" s="2"/>
      <c r="R129" s="22">
        <f t="shared" si="14"/>
        <v>4.7173615572746226E-6</v>
      </c>
      <c r="S129" s="2"/>
      <c r="T129" s="2"/>
      <c r="U129" s="2"/>
      <c r="V129" s="22">
        <f t="shared" si="15"/>
        <v>0</v>
      </c>
      <c r="W129" s="2"/>
      <c r="X129" s="2">
        <f t="shared" si="16"/>
        <v>21.98</v>
      </c>
      <c r="Y129" s="2"/>
      <c r="Z129" s="22">
        <f t="shared" si="17"/>
        <v>0</v>
      </c>
    </row>
    <row r="130" spans="1:26" s="24" customFormat="1" hidden="1" outlineLevel="1" x14ac:dyDescent="0.25">
      <c r="A130" s="51"/>
      <c r="B130" s="11" t="str">
        <f>CONCATENATE("          ", "5513", " - ", "FREIGHT-IN-TRADE BOOKS")</f>
        <v xml:space="preserve">          5513 - FREIGHT-IN-TRADE BOOKS</v>
      </c>
      <c r="C130" s="11"/>
      <c r="D130" s="2">
        <v>26.46</v>
      </c>
      <c r="E130" s="2"/>
      <c r="F130" s="22">
        <f t="shared" si="10"/>
        <v>6.6901511367340442E-5</v>
      </c>
      <c r="G130" s="2"/>
      <c r="H130" s="2"/>
      <c r="I130" s="2"/>
      <c r="J130" s="22">
        <f t="shared" si="11"/>
        <v>0</v>
      </c>
      <c r="K130" s="2"/>
      <c r="L130" s="2">
        <f t="shared" si="12"/>
        <v>26.46</v>
      </c>
      <c r="M130" s="2"/>
      <c r="N130" s="22">
        <f t="shared" si="13"/>
        <v>0</v>
      </c>
      <c r="O130" s="11"/>
      <c r="P130" s="2">
        <v>26.46</v>
      </c>
      <c r="Q130" s="2"/>
      <c r="R130" s="22">
        <f t="shared" si="14"/>
        <v>5.6788620020694499E-6</v>
      </c>
      <c r="S130" s="2"/>
      <c r="T130" s="2"/>
      <c r="U130" s="2"/>
      <c r="V130" s="22">
        <f t="shared" si="15"/>
        <v>0</v>
      </c>
      <c r="W130" s="2"/>
      <c r="X130" s="2">
        <f t="shared" si="16"/>
        <v>26.46</v>
      </c>
      <c r="Y130" s="2"/>
      <c r="Z130" s="22">
        <f t="shared" si="17"/>
        <v>0</v>
      </c>
    </row>
    <row r="131" spans="1:26" s="24" customFormat="1" hidden="1" outlineLevel="1" x14ac:dyDescent="0.25">
      <c r="A131" s="51"/>
      <c r="B131" s="11" t="str">
        <f>CONCATENATE("          ", "5525", " - ", "FREIGHT-IN-TEST FORMS")</f>
        <v xml:space="preserve">          5525 - FREIGHT-IN-TEST FORMS</v>
      </c>
      <c r="C131" s="11"/>
      <c r="D131" s="2"/>
      <c r="E131" s="2"/>
      <c r="F131" s="22">
        <f t="shared" si="10"/>
        <v>0</v>
      </c>
      <c r="G131" s="2"/>
      <c r="H131" s="2"/>
      <c r="I131" s="2"/>
      <c r="J131" s="22">
        <f t="shared" si="11"/>
        <v>0</v>
      </c>
      <c r="K131" s="2"/>
      <c r="L131" s="2">
        <f t="shared" si="12"/>
        <v>0</v>
      </c>
      <c r="M131" s="2"/>
      <c r="N131" s="22">
        <f t="shared" si="13"/>
        <v>0</v>
      </c>
      <c r="O131" s="11"/>
      <c r="P131" s="2">
        <v>48.14</v>
      </c>
      <c r="Q131" s="2"/>
      <c r="R131" s="22">
        <f t="shared" si="14"/>
        <v>1.0331837368844418E-5</v>
      </c>
      <c r="S131" s="2"/>
      <c r="T131" s="2"/>
      <c r="U131" s="2"/>
      <c r="V131" s="22">
        <f t="shared" si="15"/>
        <v>0</v>
      </c>
      <c r="W131" s="2"/>
      <c r="X131" s="2">
        <f t="shared" si="16"/>
        <v>48.14</v>
      </c>
      <c r="Y131" s="2"/>
      <c r="Z131" s="22">
        <f t="shared" si="17"/>
        <v>0</v>
      </c>
    </row>
    <row r="132" spans="1:26" s="24" customFormat="1" hidden="1" outlineLevel="1" x14ac:dyDescent="0.25">
      <c r="A132" s="51"/>
      <c r="B132" s="11" t="str">
        <f>CONCATENATE("          ", "5527", " - ", "FREIGHT-IN-SCHOOL SUPPLIES")</f>
        <v xml:space="preserve">          5527 - FREIGHT-IN-SCHOOL SUPPLIES</v>
      </c>
      <c r="C132" s="11"/>
      <c r="D132" s="2"/>
      <c r="E132" s="2"/>
      <c r="F132" s="22">
        <f t="shared" si="10"/>
        <v>0</v>
      </c>
      <c r="G132" s="2"/>
      <c r="H132" s="2"/>
      <c r="I132" s="2"/>
      <c r="J132" s="22">
        <f t="shared" si="11"/>
        <v>0</v>
      </c>
      <c r="K132" s="2"/>
      <c r="L132" s="2">
        <f t="shared" si="12"/>
        <v>0</v>
      </c>
      <c r="M132" s="2"/>
      <c r="N132" s="22">
        <f t="shared" si="13"/>
        <v>0</v>
      </c>
      <c r="O132" s="11"/>
      <c r="P132" s="2">
        <v>56</v>
      </c>
      <c r="Q132" s="2"/>
      <c r="R132" s="22">
        <f t="shared" si="14"/>
        <v>1.2018755559935344E-5</v>
      </c>
      <c r="S132" s="2"/>
      <c r="T132" s="2"/>
      <c r="U132" s="2"/>
      <c r="V132" s="22">
        <f t="shared" si="15"/>
        <v>0</v>
      </c>
      <c r="W132" s="2"/>
      <c r="X132" s="2">
        <f t="shared" si="16"/>
        <v>56</v>
      </c>
      <c r="Y132" s="2"/>
      <c r="Z132" s="22">
        <f t="shared" si="17"/>
        <v>0</v>
      </c>
    </row>
    <row r="133" spans="1:26" s="24" customFormat="1" hidden="1" outlineLevel="1" x14ac:dyDescent="0.25">
      <c r="A133" s="51"/>
      <c r="B133" s="11" t="str">
        <f>CONCATENATE("          ", "5528", " - ", "FREIGHT-IN-ART/TECH")</f>
        <v xml:space="preserve">          5528 - FREIGHT-IN-ART/TECH</v>
      </c>
      <c r="C133" s="11"/>
      <c r="D133" s="2">
        <v>1.72</v>
      </c>
      <c r="E133" s="2"/>
      <c r="F133" s="22">
        <f t="shared" si="10"/>
        <v>4.3488510790561431E-6</v>
      </c>
      <c r="G133" s="2"/>
      <c r="H133" s="2"/>
      <c r="I133" s="2"/>
      <c r="J133" s="22">
        <f t="shared" si="11"/>
        <v>0</v>
      </c>
      <c r="K133" s="2"/>
      <c r="L133" s="2">
        <f t="shared" si="12"/>
        <v>1.72</v>
      </c>
      <c r="M133" s="2"/>
      <c r="N133" s="22">
        <f t="shared" si="13"/>
        <v>0</v>
      </c>
      <c r="O133" s="11"/>
      <c r="P133" s="2">
        <v>285.92</v>
      </c>
      <c r="Q133" s="2"/>
      <c r="R133" s="22">
        <f t="shared" si="14"/>
        <v>6.1364331958869888E-5</v>
      </c>
      <c r="S133" s="2"/>
      <c r="T133" s="2"/>
      <c r="U133" s="2"/>
      <c r="V133" s="22">
        <f t="shared" si="15"/>
        <v>0</v>
      </c>
      <c r="W133" s="2"/>
      <c r="X133" s="2">
        <f t="shared" si="16"/>
        <v>285.92</v>
      </c>
      <c r="Y133" s="2"/>
      <c r="Z133" s="22">
        <f t="shared" si="17"/>
        <v>0</v>
      </c>
    </row>
    <row r="134" spans="1:26" s="24" customFormat="1" hidden="1" outlineLevel="1" x14ac:dyDescent="0.25">
      <c r="A134" s="51"/>
      <c r="B134" s="11" t="str">
        <f>CONCATENATE("          ", "5540", " - ", "FREIGHT-IN-LOGO CLOTHING")</f>
        <v xml:space="preserve">          5540 - FREIGHT-IN-LOGO CLOTHING</v>
      </c>
      <c r="C134" s="11"/>
      <c r="D134" s="2">
        <v>1333.15</v>
      </c>
      <c r="E134" s="2"/>
      <c r="F134" s="22">
        <f t="shared" si="10"/>
        <v>3.3707388465370339E-3</v>
      </c>
      <c r="G134" s="2"/>
      <c r="H134" s="2"/>
      <c r="I134" s="2"/>
      <c r="J134" s="22">
        <f t="shared" si="11"/>
        <v>0</v>
      </c>
      <c r="K134" s="2"/>
      <c r="L134" s="2">
        <f t="shared" si="12"/>
        <v>1333.15</v>
      </c>
      <c r="M134" s="2"/>
      <c r="N134" s="22">
        <f t="shared" si="13"/>
        <v>0</v>
      </c>
      <c r="O134" s="11"/>
      <c r="P134" s="2">
        <v>4535.4799999999996</v>
      </c>
      <c r="Q134" s="2"/>
      <c r="R134" s="22">
        <f t="shared" si="14"/>
        <v>9.7340759762456336E-4</v>
      </c>
      <c r="S134" s="2"/>
      <c r="T134" s="2"/>
      <c r="U134" s="2"/>
      <c r="V134" s="22">
        <f t="shared" si="15"/>
        <v>0</v>
      </c>
      <c r="W134" s="2"/>
      <c r="X134" s="2">
        <f t="shared" si="16"/>
        <v>4535.4799999999996</v>
      </c>
      <c r="Y134" s="2"/>
      <c r="Z134" s="22">
        <f t="shared" si="17"/>
        <v>0</v>
      </c>
    </row>
    <row r="135" spans="1:26" s="24" customFormat="1" hidden="1" outlineLevel="1" x14ac:dyDescent="0.25">
      <c r="A135" s="51"/>
      <c r="B135" s="11" t="str">
        <f>CONCATENATE("          ", "5541", " - ", "FREIGHT-IN-LOGO GIFTS")</f>
        <v xml:space="preserve">          5541 - FREIGHT-IN-LOGO GIFTS</v>
      </c>
      <c r="C135" s="11"/>
      <c r="D135" s="2">
        <v>301.06</v>
      </c>
      <c r="E135" s="2"/>
      <c r="F135" s="22">
        <f t="shared" si="10"/>
        <v>7.6120064294223403E-4</v>
      </c>
      <c r="G135" s="2"/>
      <c r="H135" s="2"/>
      <c r="I135" s="2"/>
      <c r="J135" s="22">
        <f t="shared" si="11"/>
        <v>0</v>
      </c>
      <c r="K135" s="2"/>
      <c r="L135" s="2">
        <f t="shared" si="12"/>
        <v>301.06</v>
      </c>
      <c r="M135" s="2"/>
      <c r="N135" s="22">
        <f t="shared" si="13"/>
        <v>0</v>
      </c>
      <c r="O135" s="11"/>
      <c r="P135" s="2">
        <v>1435.87</v>
      </c>
      <c r="Q135" s="2"/>
      <c r="R135" s="22">
        <f t="shared" si="14"/>
        <v>3.0816733117579217E-4</v>
      </c>
      <c r="S135" s="2"/>
      <c r="T135" s="2"/>
      <c r="U135" s="2"/>
      <c r="V135" s="22">
        <f t="shared" si="15"/>
        <v>0</v>
      </c>
      <c r="W135" s="2"/>
      <c r="X135" s="2">
        <f t="shared" si="16"/>
        <v>1435.87</v>
      </c>
      <c r="Y135" s="2"/>
      <c r="Z135" s="22">
        <f t="shared" si="17"/>
        <v>0</v>
      </c>
    </row>
    <row r="136" spans="1:26" s="24" customFormat="1" hidden="1" outlineLevel="1" x14ac:dyDescent="0.25">
      <c r="A136" s="51"/>
      <c r="B136" s="11" t="str">
        <f>CONCATENATE("          ", "5542", " - ", "FREIGHT-IN-EVERYDAY GIFTS")</f>
        <v xml:space="preserve">          5542 - FREIGHT-IN-EVERYDAY GIFTS</v>
      </c>
      <c r="C136" s="11"/>
      <c r="D136" s="2">
        <v>21</v>
      </c>
      <c r="E136" s="2"/>
      <c r="F136" s="22">
        <f t="shared" si="10"/>
        <v>5.3096437593127337E-5</v>
      </c>
      <c r="G136" s="2"/>
      <c r="H136" s="2"/>
      <c r="I136" s="2"/>
      <c r="J136" s="22">
        <f t="shared" si="11"/>
        <v>0</v>
      </c>
      <c r="K136" s="2"/>
      <c r="L136" s="2">
        <f t="shared" si="12"/>
        <v>21</v>
      </c>
      <c r="M136" s="2"/>
      <c r="N136" s="22">
        <f t="shared" si="13"/>
        <v>0</v>
      </c>
      <c r="O136" s="11"/>
      <c r="P136" s="2">
        <v>196.55</v>
      </c>
      <c r="Q136" s="2"/>
      <c r="R136" s="22">
        <f t="shared" si="14"/>
        <v>4.2183685809023068E-5</v>
      </c>
      <c r="S136" s="2"/>
      <c r="T136" s="2"/>
      <c r="U136" s="2"/>
      <c r="V136" s="22">
        <f t="shared" si="15"/>
        <v>0</v>
      </c>
      <c r="W136" s="2"/>
      <c r="X136" s="2">
        <f t="shared" si="16"/>
        <v>196.55</v>
      </c>
      <c r="Y136" s="2"/>
      <c r="Z136" s="22">
        <f t="shared" si="17"/>
        <v>0</v>
      </c>
    </row>
    <row r="137" spans="1:26" s="24" customFormat="1" hidden="1" outlineLevel="1" x14ac:dyDescent="0.25">
      <c r="A137" s="51"/>
      <c r="B137" s="11" t="str">
        <f>CONCATENATE("          ", "5543", " - ", "FREIGHT-IN-CARDS")</f>
        <v xml:space="preserve">          5543 - FREIGHT-IN-CARDS</v>
      </c>
      <c r="C137" s="11"/>
      <c r="D137" s="2">
        <v>6323.12</v>
      </c>
      <c r="E137" s="2"/>
      <c r="F137" s="22">
        <f t="shared" si="10"/>
        <v>1.5987387927326444E-2</v>
      </c>
      <c r="G137" s="2"/>
      <c r="H137" s="2"/>
      <c r="I137" s="2"/>
      <c r="J137" s="22">
        <f t="shared" si="11"/>
        <v>0</v>
      </c>
      <c r="K137" s="2"/>
      <c r="L137" s="2">
        <f t="shared" si="12"/>
        <v>6323.12</v>
      </c>
      <c r="M137" s="2"/>
      <c r="N137" s="22">
        <f t="shared" si="13"/>
        <v>0</v>
      </c>
      <c r="O137" s="11"/>
      <c r="P137" s="2">
        <v>6512.31</v>
      </c>
      <c r="Q137" s="2"/>
      <c r="R137" s="22">
        <f t="shared" si="14"/>
        <v>1.3976761075093311E-3</v>
      </c>
      <c r="S137" s="2"/>
      <c r="T137" s="2"/>
      <c r="U137" s="2"/>
      <c r="V137" s="22">
        <f t="shared" si="15"/>
        <v>0</v>
      </c>
      <c r="W137" s="2"/>
      <c r="X137" s="2">
        <f t="shared" si="16"/>
        <v>6512.31</v>
      </c>
      <c r="Y137" s="2"/>
      <c r="Z137" s="22">
        <f t="shared" si="17"/>
        <v>0</v>
      </c>
    </row>
    <row r="138" spans="1:26" s="24" customFormat="1" hidden="1" outlineLevel="1" x14ac:dyDescent="0.25">
      <c r="A138" s="51"/>
      <c r="B138" s="11" t="str">
        <f>CONCATENATE("          ", "5545", " - ", "FREIGHT-IN-SPECIAL ORDERS")</f>
        <v xml:space="preserve">          5545 - FREIGHT-IN-SPECIAL ORDERS</v>
      </c>
      <c r="C138" s="11"/>
      <c r="D138" s="2">
        <v>37.590000000000003</v>
      </c>
      <c r="E138" s="2"/>
      <c r="F138" s="22">
        <f t="shared" si="10"/>
        <v>9.5042623291697933E-5</v>
      </c>
      <c r="G138" s="2"/>
      <c r="H138" s="2"/>
      <c r="I138" s="2"/>
      <c r="J138" s="22">
        <f t="shared" si="11"/>
        <v>0</v>
      </c>
      <c r="K138" s="2"/>
      <c r="L138" s="2">
        <f t="shared" si="12"/>
        <v>37.590000000000003</v>
      </c>
      <c r="M138" s="2"/>
      <c r="N138" s="22">
        <f t="shared" si="13"/>
        <v>0</v>
      </c>
      <c r="O138" s="11"/>
      <c r="P138" s="2">
        <v>887.86</v>
      </c>
      <c r="Q138" s="2"/>
      <c r="R138" s="22">
        <f t="shared" si="14"/>
        <v>1.905530769900749E-4</v>
      </c>
      <c r="S138" s="2"/>
      <c r="T138" s="2"/>
      <c r="U138" s="2"/>
      <c r="V138" s="22">
        <f t="shared" si="15"/>
        <v>0</v>
      </c>
      <c r="W138" s="2"/>
      <c r="X138" s="2">
        <f t="shared" si="16"/>
        <v>887.86</v>
      </c>
      <c r="Y138" s="2"/>
      <c r="Z138" s="22">
        <f t="shared" si="17"/>
        <v>0</v>
      </c>
    </row>
    <row r="139" spans="1:26" s="24" customFormat="1" hidden="1" outlineLevel="1" x14ac:dyDescent="0.25">
      <c r="A139" s="51"/>
      <c r="B139" s="11" t="str">
        <f>CONCATENATE("          ", "5582", " - ", "FREIGHT-IN-COMPUTER HARDWARE")</f>
        <v xml:space="preserve">          5582 - FREIGHT-IN-COMPUTER HARDWARE</v>
      </c>
      <c r="C139" s="11"/>
      <c r="D139" s="2"/>
      <c r="E139" s="2"/>
      <c r="F139" s="22">
        <f t="shared" si="10"/>
        <v>0</v>
      </c>
      <c r="G139" s="2"/>
      <c r="H139" s="2"/>
      <c r="I139" s="2"/>
      <c r="J139" s="22">
        <f t="shared" si="11"/>
        <v>0</v>
      </c>
      <c r="K139" s="2"/>
      <c r="L139" s="2">
        <f t="shared" si="12"/>
        <v>0</v>
      </c>
      <c r="M139" s="2"/>
      <c r="N139" s="22">
        <f t="shared" si="13"/>
        <v>0</v>
      </c>
      <c r="O139" s="11"/>
      <c r="P139" s="2">
        <v>94</v>
      </c>
      <c r="Q139" s="2"/>
      <c r="R139" s="22">
        <f t="shared" si="14"/>
        <v>2.017433968989147E-5</v>
      </c>
      <c r="S139" s="2"/>
      <c r="T139" s="2"/>
      <c r="U139" s="2"/>
      <c r="V139" s="22">
        <f t="shared" si="15"/>
        <v>0</v>
      </c>
      <c r="W139" s="2"/>
      <c r="X139" s="2">
        <f t="shared" si="16"/>
        <v>94</v>
      </c>
      <c r="Y139" s="2"/>
      <c r="Z139" s="22">
        <f t="shared" si="17"/>
        <v>0</v>
      </c>
    </row>
    <row r="140" spans="1:26" s="24" customFormat="1" hidden="1" outlineLevel="1" x14ac:dyDescent="0.25">
      <c r="A140" s="51"/>
      <c r="B140" s="11" t="str">
        <f>CONCATENATE("          ", "5583", " - ", "FREIGHT-IN-COMPUTER EQUIPMENT")</f>
        <v xml:space="preserve">          5583 - FREIGHT-IN-COMPUTER EQUIPMENT</v>
      </c>
      <c r="C140" s="11"/>
      <c r="D140" s="2"/>
      <c r="E140" s="2"/>
      <c r="F140" s="22">
        <f t="shared" si="10"/>
        <v>0</v>
      </c>
      <c r="G140" s="2"/>
      <c r="H140" s="2"/>
      <c r="I140" s="2"/>
      <c r="J140" s="22">
        <f t="shared" si="11"/>
        <v>0</v>
      </c>
      <c r="K140" s="2"/>
      <c r="L140" s="2">
        <f t="shared" si="12"/>
        <v>0</v>
      </c>
      <c r="M140" s="2"/>
      <c r="N140" s="22">
        <f t="shared" si="13"/>
        <v>0</v>
      </c>
      <c r="O140" s="11"/>
      <c r="P140" s="2">
        <v>225.17</v>
      </c>
      <c r="Q140" s="2"/>
      <c r="R140" s="22">
        <f t="shared" si="14"/>
        <v>4.8326128382690022E-5</v>
      </c>
      <c r="S140" s="2"/>
      <c r="T140" s="2"/>
      <c r="U140" s="2"/>
      <c r="V140" s="22">
        <f t="shared" si="15"/>
        <v>0</v>
      </c>
      <c r="W140" s="2"/>
      <c r="X140" s="2">
        <f t="shared" si="16"/>
        <v>225.17</v>
      </c>
      <c r="Y140" s="2"/>
      <c r="Z140" s="22">
        <f t="shared" si="17"/>
        <v>0</v>
      </c>
    </row>
    <row r="141" spans="1:26" s="24" customFormat="1" hidden="1" outlineLevel="1" x14ac:dyDescent="0.25">
      <c r="A141" s="51"/>
      <c r="B141" s="11" t="str">
        <f>CONCATENATE("          ", "5586", " - ", "FREIGHT-IN-COMPUTER SUPPLIES")</f>
        <v xml:space="preserve">          5586 - FREIGHT-IN-COMPUTER SUPPLIES</v>
      </c>
      <c r="C141" s="11"/>
      <c r="D141" s="2"/>
      <c r="E141" s="2"/>
      <c r="F141" s="22">
        <f t="shared" si="10"/>
        <v>0</v>
      </c>
      <c r="G141" s="2"/>
      <c r="H141" s="2"/>
      <c r="I141" s="2"/>
      <c r="J141" s="22">
        <f t="shared" si="11"/>
        <v>0</v>
      </c>
      <c r="K141" s="2"/>
      <c r="L141" s="2">
        <f t="shared" si="12"/>
        <v>0</v>
      </c>
      <c r="M141" s="2"/>
      <c r="N141" s="22">
        <f t="shared" si="13"/>
        <v>0</v>
      </c>
      <c r="O141" s="11"/>
      <c r="P141" s="2">
        <v>24.12</v>
      </c>
      <c r="Q141" s="2"/>
      <c r="R141" s="22">
        <f t="shared" si="14"/>
        <v>5.1766497161721519E-6</v>
      </c>
      <c r="S141" s="2"/>
      <c r="T141" s="2"/>
      <c r="U141" s="2"/>
      <c r="V141" s="22">
        <f t="shared" si="15"/>
        <v>0</v>
      </c>
      <c r="W141" s="2"/>
      <c r="X141" s="2">
        <f t="shared" si="16"/>
        <v>24.12</v>
      </c>
      <c r="Y141" s="2"/>
      <c r="Z141" s="22">
        <f t="shared" si="17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5" t="s">
        <v>6</v>
      </c>
      <c r="C143" s="25"/>
      <c r="D143" s="21">
        <f>D12-D97</f>
        <v>229696.64000000022</v>
      </c>
      <c r="E143" s="13"/>
      <c r="F143" s="20">
        <f>IF(D$12=0,0,D143/D$12)</f>
        <v>0.58076539576719277</v>
      </c>
      <c r="G143" s="13"/>
      <c r="H143" s="21">
        <f>H12-H97</f>
        <v>578215</v>
      </c>
      <c r="I143" s="13"/>
      <c r="J143" s="20">
        <f>IF(H$12=0,0,H143/H$12)</f>
        <v>0.59424169861155363</v>
      </c>
      <c r="K143" s="16"/>
      <c r="L143" s="21">
        <f>+D143-H143</f>
        <v>-348518.35999999975</v>
      </c>
      <c r="M143" s="16"/>
      <c r="N143" s="20">
        <f>IF(H143=0,0,L143/H143)</f>
        <v>-0.60274873533201279</v>
      </c>
      <c r="O143" s="26"/>
      <c r="P143" s="21">
        <f>P12-P97</f>
        <v>1676219.5899999999</v>
      </c>
      <c r="Q143" s="13"/>
      <c r="R143" s="20">
        <f>IF(P$12=0,0,P143/P$12)</f>
        <v>0.3597513128033043</v>
      </c>
      <c r="S143" s="13"/>
      <c r="T143" s="21">
        <f>T12-T97</f>
        <v>3602315</v>
      </c>
      <c r="U143" s="13"/>
      <c r="V143" s="20">
        <f>IF(T$12=0,0,T143/T$12)</f>
        <v>0.46172586289812362</v>
      </c>
      <c r="W143" s="16"/>
      <c r="X143" s="21">
        <f>+P143-T143</f>
        <v>-1926095.4100000001</v>
      </c>
      <c r="Y143" s="16"/>
      <c r="Z143" s="20">
        <f>IF(T143=0,0,X143/T143)</f>
        <v>-0.53468267211501497</v>
      </c>
    </row>
    <row r="144" spans="1:26" x14ac:dyDescent="0.25">
      <c r="A144" s="9"/>
      <c r="B144" s="10"/>
      <c r="C144" s="9"/>
      <c r="D144" s="1"/>
      <c r="E144" s="1"/>
      <c r="F144" s="5"/>
      <c r="G144" s="1"/>
      <c r="H144" s="1"/>
      <c r="I144" s="1"/>
      <c r="J144" s="5"/>
      <c r="K144" s="1"/>
      <c r="L144" s="1"/>
      <c r="M144" s="1"/>
      <c r="N144" s="5"/>
      <c r="O144" s="36"/>
      <c r="P144" s="1"/>
      <c r="Q144" s="1"/>
      <c r="R144" s="5"/>
      <c r="S144" s="1"/>
      <c r="T144" s="1"/>
      <c r="U144" s="1"/>
      <c r="V144" s="5"/>
      <c r="W144" s="1"/>
      <c r="X144" s="1"/>
      <c r="Y144" s="1"/>
      <c r="Z144" s="5"/>
    </row>
    <row r="145" spans="1:26" s="23" customFormat="1" x14ac:dyDescent="0.25">
      <c r="A145" s="10"/>
      <c r="B145" s="26" t="s">
        <v>9</v>
      </c>
      <c r="C145" s="10"/>
      <c r="D145" s="19">
        <f>SUM(OSRRefD22x_0)</f>
        <v>643269.85999999964</v>
      </c>
      <c r="E145" s="19"/>
      <c r="F145" s="35">
        <f t="shared" ref="F145:F156" si="18">IF(D$12=0,0,D145/D$12)</f>
        <v>1.6264446655728446</v>
      </c>
      <c r="G145" s="19"/>
      <c r="H145" s="19">
        <f>SUM(OSRRefH22x_0)</f>
        <v>870783.18347677111</v>
      </c>
      <c r="I145" s="19"/>
      <c r="J145" s="35">
        <f t="shared" ref="J145:J156" si="19">IF(H$12=0,0,H145/H$12)</f>
        <v>0.89491915303410086</v>
      </c>
      <c r="K145" s="4"/>
      <c r="L145" s="19">
        <f t="shared" ref="L145:L156" si="20">+D145-H145</f>
        <v>-227513.32347677147</v>
      </c>
      <c r="M145" s="4"/>
      <c r="N145" s="35">
        <f t="shared" ref="N145:N156" si="21">IF(H145=0,0,L145/H145)</f>
        <v>-0.26127436518512026</v>
      </c>
      <c r="O145" s="10"/>
      <c r="P145" s="19">
        <f>SUM(OSRRefP22x_0)</f>
        <v>3556154.2099999995</v>
      </c>
      <c r="Q145" s="19"/>
      <c r="R145" s="35">
        <f t="shared" ref="R145:R156" si="22">IF(P$12=0,0,P145/P$12)</f>
        <v>0.76322407470401732</v>
      </c>
      <c r="S145" s="19"/>
      <c r="T145" s="19">
        <f>SUM(OSRRefT22x_0)</f>
        <v>4842957.4482011758</v>
      </c>
      <c r="U145" s="19"/>
      <c r="V145" s="35">
        <f t="shared" ref="V145:V156" si="23">IF(T$12=0,0,T145/T$12)</f>
        <v>0.62074491174413748</v>
      </c>
      <c r="W145" s="4"/>
      <c r="X145" s="19">
        <f t="shared" ref="X145:X156" si="24">+P145-T145</f>
        <v>-1286803.2382011763</v>
      </c>
      <c r="Y145" s="4"/>
      <c r="Z145" s="35">
        <f t="shared" ref="Z145:Z156" si="25">IF(T145=0,0,X145/T145)</f>
        <v>-0.26570607980029531</v>
      </c>
    </row>
    <row r="146" spans="1:26" s="29" customFormat="1" outlineLevel="1" collapsed="1" x14ac:dyDescent="0.25">
      <c r="A146" s="27"/>
      <c r="B146" s="14" t="str">
        <f>CONCATENATE("     ","*Benefits                                         ")</f>
        <v xml:space="preserve">     *Benefits                                         </v>
      </c>
      <c r="C146" s="14"/>
      <c r="D146" s="1">
        <f>SUM(OSRRefD22_0x_0)</f>
        <v>158302.27000000002</v>
      </c>
      <c r="E146" s="1"/>
      <c r="F146" s="5">
        <f t="shared" si="18"/>
        <v>0.40025174285263782</v>
      </c>
      <c r="G146" s="1"/>
      <c r="H146" s="1">
        <f>SUM(OSRRefH22_0x_0)</f>
        <v>164984.83935628389</v>
      </c>
      <c r="I146" s="1"/>
      <c r="J146" s="5">
        <f t="shared" si="19"/>
        <v>0.16955781358877309</v>
      </c>
      <c r="K146" s="1"/>
      <c r="L146" s="1">
        <f t="shared" si="20"/>
        <v>-6682.5693562838715</v>
      </c>
      <c r="M146" s="1"/>
      <c r="N146" s="5">
        <f t="shared" si="21"/>
        <v>-4.0504141970601905E-2</v>
      </c>
      <c r="O146" s="14"/>
      <c r="P146" s="1">
        <f>SUM(OSRRefP22_0x_0)</f>
        <v>794263.98</v>
      </c>
      <c r="Q146" s="1"/>
      <c r="R146" s="5">
        <f t="shared" si="22"/>
        <v>0.17046543974431025</v>
      </c>
      <c r="S146" s="1"/>
      <c r="T146" s="1">
        <f>SUM(OSRRefT22_0x_0)</f>
        <v>894820.89058266289</v>
      </c>
      <c r="U146" s="1"/>
      <c r="V146" s="5">
        <f t="shared" si="23"/>
        <v>0.1146934534718778</v>
      </c>
      <c r="W146" s="1"/>
      <c r="X146" s="1">
        <f t="shared" si="24"/>
        <v>-100556.91058266291</v>
      </c>
      <c r="Y146" s="1"/>
      <c r="Z146" s="5">
        <f t="shared" si="25"/>
        <v>-0.11237657909080022</v>
      </c>
    </row>
    <row r="147" spans="1:26" s="24" customFormat="1" hidden="1" outlineLevel="2" x14ac:dyDescent="0.25">
      <c r="A147" s="28"/>
      <c r="B147" s="11" t="str">
        <f>CONCATENATE("          ", "6111", " - ", "F.I.C.A.")</f>
        <v xml:space="preserve">          6111 - F.I.C.A.</v>
      </c>
      <c r="C147" s="11"/>
      <c r="D147" s="6">
        <v>17572.8</v>
      </c>
      <c r="E147" s="2"/>
      <c r="F147" s="7">
        <f t="shared" si="18"/>
        <v>4.4431098977928948E-2</v>
      </c>
      <c r="G147" s="2"/>
      <c r="H147" s="6">
        <v>19937.178205379998</v>
      </c>
      <c r="I147" s="2"/>
      <c r="J147" s="7">
        <f t="shared" si="19"/>
        <v>2.0489787781856672E-2</v>
      </c>
      <c r="K147" s="2"/>
      <c r="L147" s="6">
        <f t="shared" si="20"/>
        <v>-2364.3782053799987</v>
      </c>
      <c r="M147" s="2"/>
      <c r="N147" s="7">
        <f t="shared" si="21"/>
        <v>-0.11859141654970898</v>
      </c>
      <c r="O147" s="11"/>
      <c r="P147" s="6">
        <v>116403.59</v>
      </c>
      <c r="Q147" s="2"/>
      <c r="R147" s="7">
        <f t="shared" si="22"/>
        <v>2.4982612401945253E-2</v>
      </c>
      <c r="S147" s="2"/>
      <c r="T147" s="6">
        <v>122152.55272073999</v>
      </c>
      <c r="U147" s="2"/>
      <c r="V147" s="7">
        <f t="shared" si="23"/>
        <v>1.5656874207333953E-2</v>
      </c>
      <c r="W147" s="2"/>
      <c r="X147" s="6">
        <f t="shared" si="24"/>
        <v>-5748.9627207399899</v>
      </c>
      <c r="Y147" s="2"/>
      <c r="Z147" s="7">
        <f t="shared" si="25"/>
        <v>-4.706379516998737E-2</v>
      </c>
    </row>
    <row r="148" spans="1:26" s="24" customFormat="1" hidden="1" outlineLevel="2" x14ac:dyDescent="0.25">
      <c r="A148" s="28"/>
      <c r="B148" s="11" t="str">
        <f>CONCATENATE("          ", "6112", " - ", "COMPENSATION INSURANCE")</f>
        <v xml:space="preserve">          6112 - COMPENSATION INSURANCE</v>
      </c>
      <c r="C148" s="11"/>
      <c r="D148" s="6">
        <v>12807.21</v>
      </c>
      <c r="E148" s="2"/>
      <c r="F148" s="7">
        <f t="shared" si="18"/>
        <v>3.2381772690813153E-2</v>
      </c>
      <c r="G148" s="2"/>
      <c r="H148" s="6">
        <v>11277.655576234614</v>
      </c>
      <c r="I148" s="2"/>
      <c r="J148" s="7">
        <f t="shared" si="19"/>
        <v>1.1590244469579165E-2</v>
      </c>
      <c r="K148" s="2"/>
      <c r="L148" s="6">
        <f t="shared" si="20"/>
        <v>1529.5544237653849</v>
      </c>
      <c r="M148" s="2"/>
      <c r="N148" s="7">
        <f t="shared" si="21"/>
        <v>0.13562698500817957</v>
      </c>
      <c r="O148" s="11"/>
      <c r="P148" s="6">
        <v>44422.990000000005</v>
      </c>
      <c r="Q148" s="2"/>
      <c r="R148" s="7">
        <f t="shared" si="22"/>
        <v>9.5340903223473609E-3</v>
      </c>
      <c r="S148" s="2"/>
      <c r="T148" s="6">
        <v>60421.335841615379</v>
      </c>
      <c r="U148" s="2"/>
      <c r="V148" s="7">
        <f t="shared" si="23"/>
        <v>7.7444902594379405E-3</v>
      </c>
      <c r="W148" s="2"/>
      <c r="X148" s="6">
        <f t="shared" si="24"/>
        <v>-15998.345841615374</v>
      </c>
      <c r="Y148" s="2"/>
      <c r="Z148" s="7">
        <f t="shared" si="25"/>
        <v>-0.26477974408828719</v>
      </c>
    </row>
    <row r="149" spans="1:26" s="24" customFormat="1" hidden="1" outlineLevel="2" x14ac:dyDescent="0.25">
      <c r="A149" s="28"/>
      <c r="B149" s="11" t="str">
        <f>CONCATENATE("          ", "6113", " - ", "GROUP INSURANCE")</f>
        <v xml:space="preserve">          6113 - GROUP INSURANCE</v>
      </c>
      <c r="C149" s="11"/>
      <c r="D149" s="6">
        <v>74141.570000000007</v>
      </c>
      <c r="E149" s="2"/>
      <c r="F149" s="7">
        <f t="shared" si="18"/>
        <v>0.18745967831245153</v>
      </c>
      <c r="G149" s="2"/>
      <c r="H149" s="6">
        <v>89845.769230769263</v>
      </c>
      <c r="I149" s="2"/>
      <c r="J149" s="7">
        <f t="shared" si="19"/>
        <v>9.23360731228937E-2</v>
      </c>
      <c r="K149" s="2"/>
      <c r="L149" s="6">
        <f t="shared" si="20"/>
        <v>-15704.199230769256</v>
      </c>
      <c r="M149" s="2"/>
      <c r="N149" s="7">
        <f t="shared" si="21"/>
        <v>-0.17479063694622002</v>
      </c>
      <c r="O149" s="11"/>
      <c r="P149" s="6">
        <v>374333.25</v>
      </c>
      <c r="Q149" s="2"/>
      <c r="R149" s="7">
        <f t="shared" si="22"/>
        <v>8.0339639816181557E-2</v>
      </c>
      <c r="S149" s="2"/>
      <c r="T149" s="6">
        <v>474089.80769230763</v>
      </c>
      <c r="U149" s="2"/>
      <c r="V149" s="7">
        <f t="shared" si="23"/>
        <v>6.0766347625883975E-2</v>
      </c>
      <c r="W149" s="2"/>
      <c r="X149" s="6">
        <f t="shared" si="24"/>
        <v>-99756.55769230763</v>
      </c>
      <c r="Y149" s="2"/>
      <c r="Z149" s="7">
        <f t="shared" si="25"/>
        <v>-0.21041700554138751</v>
      </c>
    </row>
    <row r="150" spans="1:26" s="24" customFormat="1" hidden="1" outlineLevel="2" x14ac:dyDescent="0.25">
      <c r="A150" s="28"/>
      <c r="B150" s="11" t="str">
        <f>CONCATENATE("          ", "6114", " - ", "STATE UNEMPLOYMENT INSURANCE")</f>
        <v xml:space="preserve">          6114 - STATE UNEMPLOYMENT INSURANCE</v>
      </c>
      <c r="C150" s="11"/>
      <c r="D150" s="6">
        <v>1325.17</v>
      </c>
      <c r="E150" s="2"/>
      <c r="F150" s="7">
        <f t="shared" si="18"/>
        <v>3.3505622002516452E-3</v>
      </c>
      <c r="G150" s="2"/>
      <c r="H150" s="6">
        <v>987.34486889999994</v>
      </c>
      <c r="I150" s="2"/>
      <c r="J150" s="7">
        <f t="shared" si="19"/>
        <v>1.0147116418815453E-3</v>
      </c>
      <c r="K150" s="2"/>
      <c r="L150" s="6">
        <f t="shared" si="20"/>
        <v>337.82513110000014</v>
      </c>
      <c r="M150" s="2"/>
      <c r="N150" s="7">
        <f t="shared" si="21"/>
        <v>0.34215514937184088</v>
      </c>
      <c r="O150" s="11"/>
      <c r="P150" s="6">
        <v>4565.84</v>
      </c>
      <c r="Q150" s="2"/>
      <c r="R150" s="7">
        <f t="shared" si="22"/>
        <v>9.7992348010312843E-4</v>
      </c>
      <c r="S150" s="2"/>
      <c r="T150" s="6">
        <v>5467.9069380000001</v>
      </c>
      <c r="U150" s="2"/>
      <c r="V150" s="7">
        <f t="shared" si="23"/>
        <v>7.008476630152241E-4</v>
      </c>
      <c r="W150" s="2"/>
      <c r="X150" s="6">
        <f t="shared" si="24"/>
        <v>-902.06693799999994</v>
      </c>
      <c r="Y150" s="2"/>
      <c r="Z150" s="7">
        <f t="shared" si="25"/>
        <v>-0.16497481545103793</v>
      </c>
    </row>
    <row r="151" spans="1:26" s="24" customFormat="1" hidden="1" outlineLevel="2" x14ac:dyDescent="0.25">
      <c r="A151" s="28"/>
      <c r="B151" s="11" t="str">
        <f>CONCATENATE("          ", "6115", " - ", "P.E.R.S.")</f>
        <v xml:space="preserve">          6115 - P.E.R.S.</v>
      </c>
      <c r="C151" s="11"/>
      <c r="D151" s="6">
        <v>20058.54</v>
      </c>
      <c r="E151" s="2"/>
      <c r="F151" s="7">
        <f t="shared" si="18"/>
        <v>5.0716048443773733E-2</v>
      </c>
      <c r="G151" s="2"/>
      <c r="H151" s="6">
        <v>12274.868580000008</v>
      </c>
      <c r="I151" s="2"/>
      <c r="J151" s="7">
        <f t="shared" si="19"/>
        <v>1.2615097766769789E-2</v>
      </c>
      <c r="K151" s="2"/>
      <c r="L151" s="6">
        <f t="shared" si="20"/>
        <v>7783.6714199999933</v>
      </c>
      <c r="M151" s="2"/>
      <c r="N151" s="7">
        <f t="shared" si="21"/>
        <v>0.63411444035191356</v>
      </c>
      <c r="O151" s="11"/>
      <c r="P151" s="6">
        <v>81899.02</v>
      </c>
      <c r="Q151" s="2"/>
      <c r="R151" s="7">
        <f t="shared" si="22"/>
        <v>1.7577219678183143E-2</v>
      </c>
      <c r="S151" s="2"/>
      <c r="T151" s="6">
        <v>67757.124440000043</v>
      </c>
      <c r="U151" s="2"/>
      <c r="V151" s="7">
        <f t="shared" si="23"/>
        <v>8.6847532071888667E-3</v>
      </c>
      <c r="W151" s="2"/>
      <c r="X151" s="6">
        <f t="shared" si="24"/>
        <v>14141.895559999961</v>
      </c>
      <c r="Y151" s="2"/>
      <c r="Z151" s="7">
        <f t="shared" si="25"/>
        <v>0.20871451787365655</v>
      </c>
    </row>
    <row r="152" spans="1:26" s="24" customFormat="1" hidden="1" outlineLevel="2" x14ac:dyDescent="0.25">
      <c r="A152" s="28"/>
      <c r="B152" s="11" t="str">
        <f>CONCATENATE("          ", "6116", " - ", "EDUCATIONAL BENEFITS")</f>
        <v xml:space="preserve">          6116 - EDUCATIONAL BENEFITS</v>
      </c>
      <c r="C152" s="11"/>
      <c r="D152" s="6"/>
      <c r="E152" s="2"/>
      <c r="F152" s="7">
        <f t="shared" si="18"/>
        <v>0</v>
      </c>
      <c r="G152" s="2"/>
      <c r="H152" s="6">
        <v>0</v>
      </c>
      <c r="I152" s="2"/>
      <c r="J152" s="7">
        <f t="shared" si="19"/>
        <v>0</v>
      </c>
      <c r="K152" s="2"/>
      <c r="L152" s="6">
        <f t="shared" si="20"/>
        <v>0</v>
      </c>
      <c r="M152" s="2"/>
      <c r="N152" s="7">
        <f t="shared" si="21"/>
        <v>0</v>
      </c>
      <c r="O152" s="11"/>
      <c r="P152" s="6">
        <v>0</v>
      </c>
      <c r="Q152" s="2"/>
      <c r="R152" s="7">
        <f t="shared" si="22"/>
        <v>0</v>
      </c>
      <c r="S152" s="2"/>
      <c r="T152" s="6">
        <v>0</v>
      </c>
      <c r="U152" s="2"/>
      <c r="V152" s="7">
        <f t="shared" si="23"/>
        <v>0</v>
      </c>
      <c r="W152" s="2"/>
      <c r="X152" s="6">
        <f t="shared" si="24"/>
        <v>0</v>
      </c>
      <c r="Y152" s="2"/>
      <c r="Z152" s="7">
        <f t="shared" si="25"/>
        <v>0</v>
      </c>
    </row>
    <row r="153" spans="1:26" s="24" customFormat="1" hidden="1" outlineLevel="2" x14ac:dyDescent="0.25">
      <c r="A153" s="28"/>
      <c r="B153" s="11" t="str">
        <f>CONCATENATE("          ", "6117", " - ", "RETIREMENT STAFF HOURLY")</f>
        <v xml:space="preserve">          6117 - RETIREMENT STAFF HOURLY</v>
      </c>
      <c r="C153" s="11"/>
      <c r="D153" s="6">
        <v>1882.82</v>
      </c>
      <c r="E153" s="2"/>
      <c r="F153" s="7">
        <f t="shared" si="18"/>
        <v>4.7605254585281909E-3</v>
      </c>
      <c r="G153" s="2"/>
      <c r="H153" s="6"/>
      <c r="I153" s="2"/>
      <c r="J153" s="7">
        <f t="shared" si="19"/>
        <v>0</v>
      </c>
      <c r="K153" s="2"/>
      <c r="L153" s="6">
        <f t="shared" si="20"/>
        <v>1882.82</v>
      </c>
      <c r="M153" s="2"/>
      <c r="N153" s="7">
        <f t="shared" si="21"/>
        <v>0</v>
      </c>
      <c r="O153" s="11"/>
      <c r="P153" s="6">
        <v>10367.33</v>
      </c>
      <c r="Q153" s="2"/>
      <c r="R153" s="7">
        <f t="shared" si="22"/>
        <v>2.22504294784258E-3</v>
      </c>
      <c r="S153" s="2"/>
      <c r="T153" s="6"/>
      <c r="U153" s="2"/>
      <c r="V153" s="7">
        <f t="shared" si="23"/>
        <v>0</v>
      </c>
      <c r="W153" s="2"/>
      <c r="X153" s="6">
        <f t="shared" si="24"/>
        <v>10367.33</v>
      </c>
      <c r="Y153" s="2"/>
      <c r="Z153" s="7">
        <f t="shared" si="25"/>
        <v>0</v>
      </c>
    </row>
    <row r="154" spans="1:26" s="24" customFormat="1" hidden="1" outlineLevel="2" x14ac:dyDescent="0.25">
      <c r="A154" s="28"/>
      <c r="B154" s="11" t="str">
        <f>CONCATENATE("          ", "6118", " - ", "VACATION")</f>
        <v xml:space="preserve">          6118 - VACATION</v>
      </c>
      <c r="C154" s="11"/>
      <c r="D154" s="6">
        <v>15245.390000000001</v>
      </c>
      <c r="E154" s="2"/>
      <c r="F154" s="7">
        <f t="shared" si="18"/>
        <v>3.8546471367518459E-2</v>
      </c>
      <c r="G154" s="2"/>
      <c r="H154" s="6">
        <v>12970.504450769238</v>
      </c>
      <c r="I154" s="2"/>
      <c r="J154" s="7">
        <f t="shared" si="19"/>
        <v>1.3330014954080798E-2</v>
      </c>
      <c r="K154" s="2"/>
      <c r="L154" s="6">
        <f t="shared" si="20"/>
        <v>2274.885549230763</v>
      </c>
      <c r="M154" s="2"/>
      <c r="N154" s="7">
        <f t="shared" si="21"/>
        <v>0.17538913446776905</v>
      </c>
      <c r="O154" s="11"/>
      <c r="P154" s="6">
        <v>81412.099999999991</v>
      </c>
      <c r="Q154" s="2"/>
      <c r="R154" s="7">
        <f t="shared" si="22"/>
        <v>1.74727165985895E-2</v>
      </c>
      <c r="S154" s="2"/>
      <c r="T154" s="6">
        <v>71516.060729230783</v>
      </c>
      <c r="U154" s="2"/>
      <c r="V154" s="7">
        <f t="shared" si="23"/>
        <v>9.1665539663462782E-3</v>
      </c>
      <c r="W154" s="2"/>
      <c r="X154" s="6">
        <f t="shared" si="24"/>
        <v>9896.0392707692081</v>
      </c>
      <c r="Y154" s="2"/>
      <c r="Z154" s="7">
        <f t="shared" si="25"/>
        <v>0.13837506106826711</v>
      </c>
    </row>
    <row r="155" spans="1:26" s="24" customFormat="1" hidden="1" outlineLevel="2" x14ac:dyDescent="0.25">
      <c r="A155" s="28"/>
      <c r="B155" s="11" t="str">
        <f>CONCATENATE("          ", "6119", " - ", "SICK LEAVE")</f>
        <v xml:space="preserve">          6119 - SICK LEAVE</v>
      </c>
      <c r="C155" s="11"/>
      <c r="D155" s="6">
        <v>10091.219999999999</v>
      </c>
      <c r="E155" s="2"/>
      <c r="F155" s="7">
        <f t="shared" si="18"/>
        <v>2.5514658712786589E-2</v>
      </c>
      <c r="G155" s="2"/>
      <c r="H155" s="6">
        <v>11341.518444230765</v>
      </c>
      <c r="I155" s="2"/>
      <c r="J155" s="7">
        <f t="shared" si="19"/>
        <v>1.165587745930831E-2</v>
      </c>
      <c r="K155" s="2"/>
      <c r="L155" s="6">
        <f t="shared" si="20"/>
        <v>-1250.2984442307661</v>
      </c>
      <c r="M155" s="2"/>
      <c r="N155" s="7">
        <f t="shared" si="21"/>
        <v>-0.11024083330453616</v>
      </c>
      <c r="O155" s="11"/>
      <c r="P155" s="6">
        <v>55306.81</v>
      </c>
      <c r="Q155" s="2"/>
      <c r="R155" s="7">
        <f t="shared" si="22"/>
        <v>1.1869982681960493E-2</v>
      </c>
      <c r="S155" s="2"/>
      <c r="T155" s="6">
        <v>61666.1022207692</v>
      </c>
      <c r="U155" s="2"/>
      <c r="V155" s="7">
        <f t="shared" si="23"/>
        <v>7.9040378921467324E-3</v>
      </c>
      <c r="W155" s="2"/>
      <c r="X155" s="6">
        <f t="shared" si="24"/>
        <v>-6359.2922207692027</v>
      </c>
      <c r="Y155" s="2"/>
      <c r="Z155" s="7">
        <f t="shared" si="25"/>
        <v>-0.10312460155179691</v>
      </c>
    </row>
    <row r="156" spans="1:26" s="24" customFormat="1" hidden="1" outlineLevel="2" x14ac:dyDescent="0.25">
      <c r="A156" s="28"/>
      <c r="B156" s="11" t="str">
        <f>CONCATENATE("          ", "6156", " - ", "EMPLOYEE MEALS")</f>
        <v xml:space="preserve">          6156 - EMPLOYEE MEALS</v>
      </c>
      <c r="C156" s="11"/>
      <c r="D156" s="6">
        <v>5177.55</v>
      </c>
      <c r="E156" s="2"/>
      <c r="F156" s="7">
        <f t="shared" si="18"/>
        <v>1.3090926688585545E-2</v>
      </c>
      <c r="G156" s="2"/>
      <c r="H156" s="6">
        <v>6350</v>
      </c>
      <c r="I156" s="2"/>
      <c r="J156" s="7">
        <f t="shared" si="19"/>
        <v>6.5260063924031117E-3</v>
      </c>
      <c r="K156" s="2"/>
      <c r="L156" s="6">
        <f t="shared" si="20"/>
        <v>-1172.4499999999998</v>
      </c>
      <c r="M156" s="2"/>
      <c r="N156" s="7">
        <f t="shared" si="21"/>
        <v>-0.18463779527559052</v>
      </c>
      <c r="O156" s="11"/>
      <c r="P156" s="6">
        <v>25553.05</v>
      </c>
      <c r="Q156" s="2"/>
      <c r="R156" s="7">
        <f t="shared" si="22"/>
        <v>5.4842118171572465E-3</v>
      </c>
      <c r="S156" s="2"/>
      <c r="T156" s="6">
        <v>31750</v>
      </c>
      <c r="U156" s="2"/>
      <c r="V156" s="7">
        <f t="shared" si="23"/>
        <v>4.0695486505248502E-3</v>
      </c>
      <c r="W156" s="2"/>
      <c r="X156" s="6">
        <f t="shared" si="24"/>
        <v>-6196.9500000000007</v>
      </c>
      <c r="Y156" s="2"/>
      <c r="Z156" s="7">
        <f t="shared" si="25"/>
        <v>-0.19517952755905515</v>
      </c>
    </row>
    <row r="157" spans="1:26" s="29" customFormat="1" outlineLevel="1" collapsed="1" x14ac:dyDescent="0.25">
      <c r="A157" s="27"/>
      <c r="B157" s="14" t="str">
        <f>CONCATENATE("     ","*Payroll                                          ")</f>
        <v xml:space="preserve">     *Payroll                                          </v>
      </c>
      <c r="C157" s="14"/>
      <c r="D157" s="1">
        <f>SUM(OSRRefD22_1x_0)</f>
        <v>249775.16999999998</v>
      </c>
      <c r="E157" s="1"/>
      <c r="F157" s="5">
        <f t="shared" ref="F157:F167" si="26">IF(D$12=0,0,D157/D$12)</f>
        <v>0.63153198696275092</v>
      </c>
      <c r="G157" s="1"/>
      <c r="H157" s="1">
        <f>SUM(OSRRefH22_1x_0)</f>
        <v>352354.01078715385</v>
      </c>
      <c r="I157" s="1"/>
      <c r="J157" s="5">
        <f t="shared" ref="J157:J167" si="27">IF(H$12=0,0,H157/H$12)</f>
        <v>0.36212039791903011</v>
      </c>
      <c r="K157" s="1"/>
      <c r="L157" s="1">
        <f t="shared" ref="L157:L167" si="28">+D157-H157</f>
        <v>-102578.84078715387</v>
      </c>
      <c r="M157" s="1"/>
      <c r="N157" s="5">
        <f t="shared" ref="N157:N167" si="29">IF(H157=0,0,L157/H157)</f>
        <v>-0.29112437391586432</v>
      </c>
      <c r="O157" s="14"/>
      <c r="P157" s="1">
        <f>SUM(OSRRefP22_1x_0)</f>
        <v>1466929.03</v>
      </c>
      <c r="Q157" s="1"/>
      <c r="R157" s="5">
        <f t="shared" ref="R157:R167" si="30">IF(P$12=0,0,P157/P$12)</f>
        <v>0.31483323991684037</v>
      </c>
      <c r="S157" s="1"/>
      <c r="T157" s="1">
        <f>SUM(OSRRefT22_1x_0)</f>
        <v>1956050.8909518463</v>
      </c>
      <c r="U157" s="1"/>
      <c r="V157" s="5">
        <f t="shared" ref="V157:V167" si="31">IF(T$12=0,0,T157/T$12)</f>
        <v>0.25071635476003201</v>
      </c>
      <c r="W157" s="1"/>
      <c r="X157" s="1">
        <f t="shared" ref="X157:X167" si="32">+P157-T157</f>
        <v>-489121.86095184623</v>
      </c>
      <c r="Y157" s="1"/>
      <c r="Z157" s="5">
        <f t="shared" ref="Z157:Z167" si="33">IF(T157=0,0,X157/T157)</f>
        <v>-0.25005579518119364</v>
      </c>
    </row>
    <row r="158" spans="1:26" s="24" customFormat="1" hidden="1" outlineLevel="2" x14ac:dyDescent="0.25">
      <c r="A158" s="28"/>
      <c r="B158" s="11" t="str">
        <f>CONCATENATE("          ", "6001", " - ", "ADMINISTRATIVE SALARIES")</f>
        <v xml:space="preserve">          6001 - ADMINISTRATIVE SALARIES</v>
      </c>
      <c r="C158" s="11"/>
      <c r="D158" s="6">
        <v>26464.799999999999</v>
      </c>
      <c r="E158" s="2"/>
      <c r="F158" s="7">
        <f t="shared" si="26"/>
        <v>6.6913647695933151E-2</v>
      </c>
      <c r="G158" s="2"/>
      <c r="H158" s="6">
        <v>27028.93076923077</v>
      </c>
      <c r="I158" s="2"/>
      <c r="J158" s="7">
        <f t="shared" si="27"/>
        <v>2.7778106296034829E-2</v>
      </c>
      <c r="K158" s="2"/>
      <c r="L158" s="6">
        <f t="shared" si="28"/>
        <v>-564.13076923077097</v>
      </c>
      <c r="M158" s="2"/>
      <c r="N158" s="7">
        <f t="shared" si="29"/>
        <v>-2.0871368314464251E-2</v>
      </c>
      <c r="O158" s="11"/>
      <c r="P158" s="6">
        <v>142077.74</v>
      </c>
      <c r="Q158" s="2"/>
      <c r="R158" s="7">
        <f t="shared" si="30"/>
        <v>3.0492814778000858E-2</v>
      </c>
      <c r="S158" s="2"/>
      <c r="T158" s="6">
        <v>148659.11923076923</v>
      </c>
      <c r="U158" s="2"/>
      <c r="V158" s="7">
        <f t="shared" si="31"/>
        <v>1.905434702531621E-2</v>
      </c>
      <c r="W158" s="2"/>
      <c r="X158" s="6">
        <f t="shared" si="32"/>
        <v>-6581.3792307692347</v>
      </c>
      <c r="Y158" s="2"/>
      <c r="Z158" s="7">
        <f t="shared" si="33"/>
        <v>-4.4271614582572012E-2</v>
      </c>
    </row>
    <row r="159" spans="1:26" s="24" customFormat="1" hidden="1" outlineLevel="2" x14ac:dyDescent="0.25">
      <c r="A159" s="28"/>
      <c r="B159" s="11" t="str">
        <f>CONCATENATE("          ", "6002", " - ", "STAFF SALARIES")</f>
        <v xml:space="preserve">          6002 - STAFF SALARIES</v>
      </c>
      <c r="C159" s="11"/>
      <c r="D159" s="6">
        <v>92211.93</v>
      </c>
      <c r="E159" s="2"/>
      <c r="F159" s="7">
        <f t="shared" si="26"/>
        <v>0.23314880888508693</v>
      </c>
      <c r="G159" s="2"/>
      <c r="H159" s="6">
        <v>102115.08893292308</v>
      </c>
      <c r="I159" s="2"/>
      <c r="J159" s="7">
        <f t="shared" si="27"/>
        <v>0.10494546821056194</v>
      </c>
      <c r="K159" s="2"/>
      <c r="L159" s="6">
        <f t="shared" si="28"/>
        <v>-9903.1589329230919</v>
      </c>
      <c r="M159" s="2"/>
      <c r="N159" s="7">
        <f t="shared" si="29"/>
        <v>-9.698036829237093E-2</v>
      </c>
      <c r="O159" s="11"/>
      <c r="P159" s="6">
        <v>563111.29</v>
      </c>
      <c r="Q159" s="2"/>
      <c r="R159" s="7">
        <f t="shared" si="30"/>
        <v>0.120855302634819</v>
      </c>
      <c r="S159" s="2"/>
      <c r="T159" s="6">
        <v>564343.22038107703</v>
      </c>
      <c r="U159" s="2"/>
      <c r="V159" s="7">
        <f t="shared" si="31"/>
        <v>7.233455719479244E-2</v>
      </c>
      <c r="W159" s="2"/>
      <c r="X159" s="6">
        <f t="shared" si="32"/>
        <v>-1231.9303810769925</v>
      </c>
      <c r="Y159" s="2"/>
      <c r="Z159" s="7">
        <f t="shared" si="33"/>
        <v>-2.182945300990986E-3</v>
      </c>
    </row>
    <row r="160" spans="1:26" s="24" customFormat="1" hidden="1" outlineLevel="2" x14ac:dyDescent="0.25">
      <c r="A160" s="28"/>
      <c r="B160" s="11" t="str">
        <f>CONCATENATE("          ", "6003", " - ", "STAFF HOURLY-9 MONTH")</f>
        <v xml:space="preserve">          6003 - STAFF HOURLY-9 MONTH</v>
      </c>
      <c r="C160" s="11"/>
      <c r="D160" s="6"/>
      <c r="E160" s="2"/>
      <c r="F160" s="7">
        <f t="shared" si="26"/>
        <v>0</v>
      </c>
      <c r="G160" s="2"/>
      <c r="H160" s="6">
        <v>0</v>
      </c>
      <c r="I160" s="2"/>
      <c r="J160" s="7">
        <f t="shared" si="27"/>
        <v>0</v>
      </c>
      <c r="K160" s="2"/>
      <c r="L160" s="6">
        <f t="shared" si="28"/>
        <v>0</v>
      </c>
      <c r="M160" s="2"/>
      <c r="N160" s="7">
        <f t="shared" si="29"/>
        <v>0</v>
      </c>
      <c r="O160" s="11"/>
      <c r="P160" s="6"/>
      <c r="Q160" s="2"/>
      <c r="R160" s="7">
        <f t="shared" si="30"/>
        <v>0</v>
      </c>
      <c r="S160" s="2"/>
      <c r="T160" s="6">
        <v>0</v>
      </c>
      <c r="U160" s="2"/>
      <c r="V160" s="7">
        <f t="shared" si="31"/>
        <v>0</v>
      </c>
      <c r="W160" s="2"/>
      <c r="X160" s="6">
        <f t="shared" si="32"/>
        <v>0</v>
      </c>
      <c r="Y160" s="2"/>
      <c r="Z160" s="7">
        <f t="shared" si="33"/>
        <v>0</v>
      </c>
    </row>
    <row r="161" spans="1:26" s="24" customFormat="1" hidden="1" outlineLevel="2" x14ac:dyDescent="0.25">
      <c r="A161" s="28"/>
      <c r="B161" s="11" t="str">
        <f>CONCATENATE("          ", "6004", " - ", "STAFF HOURLY")</f>
        <v xml:space="preserve">          6004 - STAFF HOURLY</v>
      </c>
      <c r="C161" s="11"/>
      <c r="D161" s="6">
        <v>65600.259999999995</v>
      </c>
      <c r="E161" s="2"/>
      <c r="F161" s="7">
        <f t="shared" si="26"/>
        <v>0.16586381481823462</v>
      </c>
      <c r="G161" s="2"/>
      <c r="H161" s="6">
        <v>108031.45999999999</v>
      </c>
      <c r="I161" s="2"/>
      <c r="J161" s="7">
        <f t="shared" si="27"/>
        <v>0.11102582654183324</v>
      </c>
      <c r="K161" s="2"/>
      <c r="L161" s="6">
        <f t="shared" si="28"/>
        <v>-42431.199999999997</v>
      </c>
      <c r="M161" s="2"/>
      <c r="N161" s="7">
        <f t="shared" si="29"/>
        <v>-0.39276706988871574</v>
      </c>
      <c r="O161" s="11"/>
      <c r="P161" s="6">
        <v>350292.69</v>
      </c>
      <c r="Q161" s="2"/>
      <c r="R161" s="7">
        <f t="shared" si="30"/>
        <v>7.5180039563253712E-2</v>
      </c>
      <c r="S161" s="2"/>
      <c r="T161" s="6">
        <v>573009.81000000006</v>
      </c>
      <c r="U161" s="2"/>
      <c r="V161" s="7">
        <f t="shared" si="31"/>
        <v>7.3445395244818926E-2</v>
      </c>
      <c r="W161" s="2"/>
      <c r="X161" s="6">
        <f t="shared" si="32"/>
        <v>-222717.12000000005</v>
      </c>
      <c r="Y161" s="2"/>
      <c r="Z161" s="7">
        <f t="shared" si="33"/>
        <v>-0.38867941894397939</v>
      </c>
    </row>
    <row r="162" spans="1:26" s="24" customFormat="1" hidden="1" outlineLevel="2" x14ac:dyDescent="0.25">
      <c r="A162" s="28"/>
      <c r="B162" s="11" t="str">
        <f>CONCATENATE("          ", "6005", " - ", "TEMPORARY WAGES-HOURLY")</f>
        <v xml:space="preserve">          6005 - TEMPORARY WAGES-HOURLY</v>
      </c>
      <c r="C162" s="11"/>
      <c r="D162" s="6">
        <v>24886.17</v>
      </c>
      <c r="E162" s="2"/>
      <c r="F162" s="7">
        <f t="shared" si="26"/>
        <v>6.2922236777950363E-2</v>
      </c>
      <c r="G162" s="2"/>
      <c r="H162" s="6">
        <v>16273.731084999999</v>
      </c>
      <c r="I162" s="2"/>
      <c r="J162" s="7">
        <f t="shared" si="27"/>
        <v>1.6724798911647121E-2</v>
      </c>
      <c r="K162" s="2"/>
      <c r="L162" s="6">
        <f t="shared" si="28"/>
        <v>8612.4389149999988</v>
      </c>
      <c r="M162" s="2"/>
      <c r="N162" s="7">
        <f t="shared" si="29"/>
        <v>0.52922337661941277</v>
      </c>
      <c r="O162" s="11"/>
      <c r="P162" s="6">
        <v>176590.79</v>
      </c>
      <c r="Q162" s="2"/>
      <c r="R162" s="7">
        <f t="shared" si="30"/>
        <v>3.7900027484747766E-2</v>
      </c>
      <c r="S162" s="2"/>
      <c r="T162" s="6">
        <v>75733.841339999999</v>
      </c>
      <c r="U162" s="2"/>
      <c r="V162" s="7">
        <f t="shared" si="31"/>
        <v>9.7071669865908695E-3</v>
      </c>
      <c r="W162" s="2"/>
      <c r="X162" s="6">
        <f t="shared" si="32"/>
        <v>100856.94866000001</v>
      </c>
      <c r="Y162" s="2"/>
      <c r="Z162" s="7">
        <f t="shared" si="33"/>
        <v>1.3317289454157246</v>
      </c>
    </row>
    <row r="163" spans="1:26" s="24" customFormat="1" hidden="1" outlineLevel="2" x14ac:dyDescent="0.25">
      <c r="A163" s="28"/>
      <c r="B163" s="11" t="str">
        <f>CONCATENATE("          ", "6006", " - ", "TEMPORARY PART TIME")</f>
        <v xml:space="preserve">          6006 - TEMPORARY PART TIME</v>
      </c>
      <c r="C163" s="11"/>
      <c r="D163" s="6">
        <v>1048.44</v>
      </c>
      <c r="E163" s="2"/>
      <c r="F163" s="7">
        <f t="shared" si="26"/>
        <v>2.6508775728637346E-3</v>
      </c>
      <c r="G163" s="2"/>
      <c r="H163" s="6">
        <v>0</v>
      </c>
      <c r="I163" s="2"/>
      <c r="J163" s="7">
        <f t="shared" si="27"/>
        <v>0</v>
      </c>
      <c r="K163" s="2"/>
      <c r="L163" s="6">
        <f t="shared" si="28"/>
        <v>1048.44</v>
      </c>
      <c r="M163" s="2"/>
      <c r="N163" s="7">
        <f t="shared" si="29"/>
        <v>0</v>
      </c>
      <c r="O163" s="11"/>
      <c r="P163" s="6">
        <v>8555.61</v>
      </c>
      <c r="Q163" s="2"/>
      <c r="R163" s="7">
        <f t="shared" si="30"/>
        <v>1.8362104510024719E-3</v>
      </c>
      <c r="S163" s="2"/>
      <c r="T163" s="6">
        <v>0</v>
      </c>
      <c r="U163" s="2"/>
      <c r="V163" s="7">
        <f t="shared" si="31"/>
        <v>0</v>
      </c>
      <c r="W163" s="2"/>
      <c r="X163" s="6">
        <f t="shared" si="32"/>
        <v>8555.61</v>
      </c>
      <c r="Y163" s="2"/>
      <c r="Z163" s="7">
        <f t="shared" si="33"/>
        <v>0</v>
      </c>
    </row>
    <row r="164" spans="1:26" s="24" customFormat="1" hidden="1" outlineLevel="2" x14ac:dyDescent="0.25">
      <c r="A164" s="28"/>
      <c r="B164" s="11" t="str">
        <f>CONCATENATE("          ", "6007", " - ", "STUDENT HOURLY")</f>
        <v xml:space="preserve">          6007 - STUDENT HOURLY</v>
      </c>
      <c r="C164" s="11"/>
      <c r="D164" s="6">
        <v>36356.57</v>
      </c>
      <c r="E164" s="2"/>
      <c r="F164" s="7">
        <f t="shared" si="26"/>
        <v>9.1924016671674547E-2</v>
      </c>
      <c r="G164" s="2"/>
      <c r="H164" s="6">
        <v>0</v>
      </c>
      <c r="I164" s="2"/>
      <c r="J164" s="7">
        <f t="shared" si="27"/>
        <v>0</v>
      </c>
      <c r="K164" s="2"/>
      <c r="L164" s="6">
        <f t="shared" si="28"/>
        <v>36356.57</v>
      </c>
      <c r="M164" s="2"/>
      <c r="N164" s="7">
        <f t="shared" si="29"/>
        <v>0</v>
      </c>
      <c r="O164" s="11"/>
      <c r="P164" s="6">
        <v>210549.69</v>
      </c>
      <c r="Q164" s="2"/>
      <c r="R164" s="7">
        <f t="shared" si="30"/>
        <v>4.5188308166610056E-2</v>
      </c>
      <c r="S164" s="2"/>
      <c r="T164" s="6">
        <v>180176.75</v>
      </c>
      <c r="U164" s="2"/>
      <c r="V164" s="7">
        <f t="shared" si="31"/>
        <v>2.3094111805305614E-2</v>
      </c>
      <c r="W164" s="2"/>
      <c r="X164" s="6">
        <f t="shared" si="32"/>
        <v>30372.940000000002</v>
      </c>
      <c r="Y164" s="2"/>
      <c r="Z164" s="7">
        <f t="shared" si="33"/>
        <v>0.16857302620898645</v>
      </c>
    </row>
    <row r="165" spans="1:26" s="24" customFormat="1" hidden="1" outlineLevel="2" x14ac:dyDescent="0.25">
      <c r="A165" s="28"/>
      <c r="B165" s="11" t="str">
        <f>CONCATENATE("          ", "6008", " - ", "STUDENT HOURLY-FICA EXEMPT")</f>
        <v xml:space="preserve">          6008 - STUDENT HOURLY-FICA EXEMPT</v>
      </c>
      <c r="C165" s="11"/>
      <c r="D165" s="6">
        <v>3207</v>
      </c>
      <c r="E165" s="2"/>
      <c r="F165" s="7">
        <f t="shared" si="26"/>
        <v>8.108584541007588E-3</v>
      </c>
      <c r="G165" s="2"/>
      <c r="H165" s="6">
        <v>98904.8</v>
      </c>
      <c r="I165" s="2"/>
      <c r="J165" s="7">
        <f t="shared" si="27"/>
        <v>0.10164619795895297</v>
      </c>
      <c r="K165" s="2"/>
      <c r="L165" s="6">
        <f t="shared" si="28"/>
        <v>-95697.8</v>
      </c>
      <c r="M165" s="2"/>
      <c r="N165" s="7">
        <f t="shared" si="29"/>
        <v>-0.96757488008670967</v>
      </c>
      <c r="O165" s="11"/>
      <c r="P165" s="6">
        <v>15751.22</v>
      </c>
      <c r="Q165" s="2"/>
      <c r="R165" s="7">
        <f t="shared" si="30"/>
        <v>3.3805368384065139E-3</v>
      </c>
      <c r="S165" s="2"/>
      <c r="T165" s="6">
        <v>414128.14999999997</v>
      </c>
      <c r="U165" s="2"/>
      <c r="V165" s="7">
        <f t="shared" si="31"/>
        <v>5.3080776503207951E-2</v>
      </c>
      <c r="W165" s="2"/>
      <c r="X165" s="6">
        <f t="shared" si="32"/>
        <v>-398376.93</v>
      </c>
      <c r="Y165" s="2"/>
      <c r="Z165" s="7">
        <f t="shared" si="33"/>
        <v>-0.96196534816577917</v>
      </c>
    </row>
    <row r="166" spans="1:26" s="24" customFormat="1" hidden="1" outlineLevel="2" x14ac:dyDescent="0.25">
      <c r="A166" s="28"/>
      <c r="B166" s="11" t="str">
        <f>CONCATENATE("          ", "6009", " - ", "TEMPORARY-SEASONAL")</f>
        <v xml:space="preserve">          6009 - TEMPORARY-SEASONAL</v>
      </c>
      <c r="C166" s="11"/>
      <c r="D166" s="6"/>
      <c r="E166" s="2"/>
      <c r="F166" s="7">
        <f t="shared" si="26"/>
        <v>0</v>
      </c>
      <c r="G166" s="2"/>
      <c r="H166" s="6">
        <v>0</v>
      </c>
      <c r="I166" s="2"/>
      <c r="J166" s="7">
        <f t="shared" si="27"/>
        <v>0</v>
      </c>
      <c r="K166" s="2"/>
      <c r="L166" s="6">
        <f t="shared" si="28"/>
        <v>0</v>
      </c>
      <c r="M166" s="2"/>
      <c r="N166" s="7">
        <f t="shared" si="29"/>
        <v>0</v>
      </c>
      <c r="O166" s="11"/>
      <c r="P166" s="6"/>
      <c r="Q166" s="2"/>
      <c r="R166" s="7">
        <f t="shared" si="30"/>
        <v>0</v>
      </c>
      <c r="S166" s="2"/>
      <c r="T166" s="6">
        <v>0</v>
      </c>
      <c r="U166" s="2"/>
      <c r="V166" s="7">
        <f t="shared" si="31"/>
        <v>0</v>
      </c>
      <c r="W166" s="2"/>
      <c r="X166" s="6">
        <f t="shared" si="32"/>
        <v>0</v>
      </c>
      <c r="Y166" s="2"/>
      <c r="Z166" s="7">
        <f t="shared" si="33"/>
        <v>0</v>
      </c>
    </row>
    <row r="167" spans="1:26" s="24" customFormat="1" hidden="1" outlineLevel="2" x14ac:dyDescent="0.25">
      <c r="A167" s="28"/>
      <c r="B167" s="11" t="str">
        <f>CONCATENATE("          ", "6010", " - ", "GRATUITY")</f>
        <v xml:space="preserve">          6010 - GRATUITY</v>
      </c>
      <c r="C167" s="11"/>
      <c r="D167" s="6"/>
      <c r="E167" s="2"/>
      <c r="F167" s="7">
        <f t="shared" si="26"/>
        <v>0</v>
      </c>
      <c r="G167" s="2"/>
      <c r="H167" s="6">
        <v>0</v>
      </c>
      <c r="I167" s="2"/>
      <c r="J167" s="7">
        <f t="shared" si="27"/>
        <v>0</v>
      </c>
      <c r="K167" s="2"/>
      <c r="L167" s="6">
        <f t="shared" si="28"/>
        <v>0</v>
      </c>
      <c r="M167" s="2"/>
      <c r="N167" s="7">
        <f t="shared" si="29"/>
        <v>0</v>
      </c>
      <c r="O167" s="11"/>
      <c r="P167" s="6"/>
      <c r="Q167" s="2"/>
      <c r="R167" s="7">
        <f t="shared" si="30"/>
        <v>0</v>
      </c>
      <c r="S167" s="2"/>
      <c r="T167" s="6">
        <v>0</v>
      </c>
      <c r="U167" s="2"/>
      <c r="V167" s="7">
        <f t="shared" si="31"/>
        <v>0</v>
      </c>
      <c r="W167" s="2"/>
      <c r="X167" s="6">
        <f t="shared" si="32"/>
        <v>0</v>
      </c>
      <c r="Y167" s="2"/>
      <c r="Z167" s="7">
        <f t="shared" si="33"/>
        <v>0</v>
      </c>
    </row>
    <row r="168" spans="1:26" s="29" customFormat="1" outlineLevel="1" collapsed="1" x14ac:dyDescent="0.25">
      <c r="A168" s="27"/>
      <c r="B168" s="14" t="str">
        <f>CONCATENATE("     ","Advertising/Promo                                 ")</f>
        <v xml:space="preserve">     Advertising/Promo                                 </v>
      </c>
      <c r="C168" s="14"/>
      <c r="D168" s="1">
        <f>SUM(OSRRefD22_2x_0)</f>
        <v>664.68</v>
      </c>
      <c r="E168" s="1"/>
      <c r="F168" s="5">
        <f t="shared" ref="F168:F172" si="34">IF(D$12=0,0,D168/D$12)</f>
        <v>1.6805781018761844E-3</v>
      </c>
      <c r="G168" s="1"/>
      <c r="H168" s="1">
        <f>SUM(OSRRefH22_2x_0)</f>
        <v>3541</v>
      </c>
      <c r="I168" s="1"/>
      <c r="J168" s="5">
        <f t="shared" ref="J168:J172" si="35">IF(H$12=0,0,H168/H$12)</f>
        <v>3.6391478166140816E-3</v>
      </c>
      <c r="K168" s="1"/>
      <c r="L168" s="1">
        <f t="shared" ref="L168:L172" si="36">+D168-H168</f>
        <v>-2876.32</v>
      </c>
      <c r="M168" s="1"/>
      <c r="N168" s="5">
        <f t="shared" ref="N168:N172" si="37">IF(H168=0,0,L168/H168)</f>
        <v>-0.81229031347077096</v>
      </c>
      <c r="O168" s="14"/>
      <c r="P168" s="1">
        <f>SUM(OSRRefP22_2x_0)</f>
        <v>16162.94</v>
      </c>
      <c r="Q168" s="1"/>
      <c r="R168" s="5">
        <f t="shared" ref="R168:R172" si="38">IF(P$12=0,0,P168/P$12)</f>
        <v>3.4689004462482385E-3</v>
      </c>
      <c r="S168" s="1"/>
      <c r="T168" s="1">
        <f>SUM(OSRRefT22_2x_0)</f>
        <v>17777</v>
      </c>
      <c r="U168" s="1"/>
      <c r="V168" s="5">
        <f t="shared" ref="V168:V172" si="39">IF(T$12=0,0,T168/T$12)</f>
        <v>2.2785627200119767E-3</v>
      </c>
      <c r="W168" s="1"/>
      <c r="X168" s="1">
        <f t="shared" ref="X168:X172" si="40">+P168-T168</f>
        <v>-1614.0599999999995</v>
      </c>
      <c r="Y168" s="1"/>
      <c r="Z168" s="5">
        <f t="shared" ref="Z168:Z172" si="41">IF(T168=0,0,X168/T168)</f>
        <v>-9.0794847274568227E-2</v>
      </c>
    </row>
    <row r="169" spans="1:26" s="24" customFormat="1" hidden="1" outlineLevel="2" x14ac:dyDescent="0.25">
      <c r="A169" s="28"/>
      <c r="B169" s="11" t="str">
        <f>CONCATENATE("          ", "6362", " - ", "ADVERTISING EXPENSE")</f>
        <v xml:space="preserve">          6362 - ADVERTISING EXPENSE</v>
      </c>
      <c r="C169" s="11"/>
      <c r="D169" s="6">
        <v>664.68</v>
      </c>
      <c r="E169" s="2"/>
      <c r="F169" s="7">
        <f t="shared" si="34"/>
        <v>1.6805781018761844E-3</v>
      </c>
      <c r="G169" s="2"/>
      <c r="H169" s="6">
        <v>3541</v>
      </c>
      <c r="I169" s="2"/>
      <c r="J169" s="7">
        <f t="shared" si="35"/>
        <v>3.6391478166140816E-3</v>
      </c>
      <c r="K169" s="2"/>
      <c r="L169" s="6">
        <f t="shared" si="36"/>
        <v>-2876.32</v>
      </c>
      <c r="M169" s="2"/>
      <c r="N169" s="7">
        <f t="shared" si="37"/>
        <v>-0.81229031347077096</v>
      </c>
      <c r="O169" s="11"/>
      <c r="P169" s="6">
        <v>16162.94</v>
      </c>
      <c r="Q169" s="2"/>
      <c r="R169" s="7">
        <f t="shared" si="38"/>
        <v>3.4689004462482385E-3</v>
      </c>
      <c r="S169" s="2"/>
      <c r="T169" s="6">
        <v>17777</v>
      </c>
      <c r="U169" s="2"/>
      <c r="V169" s="7">
        <f t="shared" si="39"/>
        <v>2.2785627200119767E-3</v>
      </c>
      <c r="W169" s="2"/>
      <c r="X169" s="6">
        <f t="shared" si="40"/>
        <v>-1614.0599999999995</v>
      </c>
      <c r="Y169" s="2"/>
      <c r="Z169" s="7">
        <f t="shared" si="41"/>
        <v>-9.0794847274568227E-2</v>
      </c>
    </row>
    <row r="170" spans="1:26" s="29" customFormat="1" outlineLevel="1" collapsed="1" x14ac:dyDescent="0.25">
      <c r="A170" s="27"/>
      <c r="B170" s="14" t="str">
        <f>CONCATENATE("     ","Bad Debts/Over/Short                              ")</f>
        <v xml:space="preserve">     Bad Debts/Over/Short                              </v>
      </c>
      <c r="C170" s="14"/>
      <c r="D170" s="1">
        <f>SUM(OSRRefD22_3x_0)</f>
        <v>-1330.49</v>
      </c>
      <c r="E170" s="1"/>
      <c r="F170" s="5">
        <f t="shared" si="34"/>
        <v>-3.3640132977752375E-3</v>
      </c>
      <c r="G170" s="1"/>
      <c r="H170" s="1">
        <f>SUM(OSRRefH22_3x_0)</f>
        <v>159</v>
      </c>
      <c r="I170" s="1"/>
      <c r="J170" s="5">
        <f t="shared" si="35"/>
        <v>1.6340708919560548E-4</v>
      </c>
      <c r="K170" s="1"/>
      <c r="L170" s="1">
        <f t="shared" si="36"/>
        <v>-1489.49</v>
      </c>
      <c r="M170" s="1"/>
      <c r="N170" s="5">
        <f t="shared" si="37"/>
        <v>-9.3678616352201267</v>
      </c>
      <c r="O170" s="14"/>
      <c r="P170" s="1">
        <f>SUM(OSRRefP22_3x_0)</f>
        <v>131.4</v>
      </c>
      <c r="Q170" s="1"/>
      <c r="R170" s="5">
        <f t="shared" si="38"/>
        <v>2.8201151438848288E-5</v>
      </c>
      <c r="S170" s="1"/>
      <c r="T170" s="1">
        <f>SUM(OSRRefT22_3x_0)</f>
        <v>790</v>
      </c>
      <c r="U170" s="1"/>
      <c r="V170" s="5">
        <f t="shared" si="39"/>
        <v>1.0125806091069706E-4</v>
      </c>
      <c r="W170" s="1"/>
      <c r="X170" s="1">
        <f t="shared" si="40"/>
        <v>-658.6</v>
      </c>
      <c r="Y170" s="1"/>
      <c r="Z170" s="5">
        <f t="shared" si="41"/>
        <v>-0.83367088607594941</v>
      </c>
    </row>
    <row r="171" spans="1:26" s="24" customFormat="1" hidden="1" outlineLevel="2" x14ac:dyDescent="0.25">
      <c r="A171" s="28"/>
      <c r="B171" s="11" t="str">
        <f>CONCATENATE("          ", "6272", " - ", "CASH (OVER/SHORT)")</f>
        <v xml:space="preserve">          6272 - CASH (OVER/SHORT)</v>
      </c>
      <c r="C171" s="11"/>
      <c r="D171" s="6">
        <v>-1330.49</v>
      </c>
      <c r="E171" s="2"/>
      <c r="F171" s="7">
        <f t="shared" si="34"/>
        <v>-3.3640132977752375E-3</v>
      </c>
      <c r="G171" s="2"/>
      <c r="H171" s="6">
        <v>109</v>
      </c>
      <c r="I171" s="2"/>
      <c r="J171" s="7">
        <f t="shared" si="35"/>
        <v>1.1202121209006917E-4</v>
      </c>
      <c r="K171" s="2"/>
      <c r="L171" s="6">
        <f t="shared" si="36"/>
        <v>-1439.49</v>
      </c>
      <c r="M171" s="2"/>
      <c r="N171" s="7">
        <f t="shared" si="37"/>
        <v>-13.206330275229359</v>
      </c>
      <c r="O171" s="11"/>
      <c r="P171" s="6">
        <v>131.4</v>
      </c>
      <c r="Q171" s="2"/>
      <c r="R171" s="7">
        <f t="shared" si="38"/>
        <v>2.8201151438848288E-5</v>
      </c>
      <c r="S171" s="2"/>
      <c r="T171" s="6">
        <v>540</v>
      </c>
      <c r="U171" s="2"/>
      <c r="V171" s="7">
        <f t="shared" si="39"/>
        <v>6.9214370749084067E-5</v>
      </c>
      <c r="W171" s="2"/>
      <c r="X171" s="6">
        <f t="shared" si="40"/>
        <v>-408.6</v>
      </c>
      <c r="Y171" s="2"/>
      <c r="Z171" s="7">
        <f t="shared" si="41"/>
        <v>-0.75666666666666671</v>
      </c>
    </row>
    <row r="172" spans="1:26" s="24" customFormat="1" hidden="1" outlineLevel="2" x14ac:dyDescent="0.25">
      <c r="A172" s="28"/>
      <c r="B172" s="11" t="str">
        <f>CONCATENATE("          ", "6342", " - ", "BAD DEBT")</f>
        <v xml:space="preserve">          6342 - BAD DEBT</v>
      </c>
      <c r="C172" s="11"/>
      <c r="D172" s="6"/>
      <c r="E172" s="2"/>
      <c r="F172" s="7">
        <f t="shared" si="34"/>
        <v>0</v>
      </c>
      <c r="G172" s="2"/>
      <c r="H172" s="6">
        <v>50</v>
      </c>
      <c r="I172" s="2"/>
      <c r="J172" s="7">
        <f t="shared" si="35"/>
        <v>5.1385877105536317E-5</v>
      </c>
      <c r="K172" s="2"/>
      <c r="L172" s="6">
        <f t="shared" si="36"/>
        <v>-50</v>
      </c>
      <c r="M172" s="2"/>
      <c r="N172" s="7">
        <f t="shared" si="37"/>
        <v>-1</v>
      </c>
      <c r="O172" s="11"/>
      <c r="P172" s="6"/>
      <c r="Q172" s="2"/>
      <c r="R172" s="7">
        <f t="shared" si="38"/>
        <v>0</v>
      </c>
      <c r="S172" s="2"/>
      <c r="T172" s="6">
        <v>250</v>
      </c>
      <c r="U172" s="2"/>
      <c r="V172" s="7">
        <f t="shared" si="39"/>
        <v>3.2043690161612991E-5</v>
      </c>
      <c r="W172" s="2"/>
      <c r="X172" s="6">
        <f t="shared" si="40"/>
        <v>-250</v>
      </c>
      <c r="Y172" s="2"/>
      <c r="Z172" s="7">
        <f t="shared" si="41"/>
        <v>-1</v>
      </c>
    </row>
    <row r="173" spans="1:26" s="29" customFormat="1" outlineLevel="1" collapsed="1" x14ac:dyDescent="0.25">
      <c r="A173" s="27"/>
      <c r="B173" s="14" t="str">
        <f>CONCATENATE("     ","Bank/card Fees                                    ")</f>
        <v xml:space="preserve">     Bank/card Fees                                    </v>
      </c>
      <c r="C173" s="14"/>
      <c r="D173" s="1">
        <f>SUM(OSRRefD22_4x_0)</f>
        <v>3459.98</v>
      </c>
      <c r="E173" s="1"/>
      <c r="F173" s="5">
        <f t="shared" ref="F173:F178" si="42">IF(D$12=0,0,D173/D$12)</f>
        <v>8.7482196258794626E-3</v>
      </c>
      <c r="G173" s="1"/>
      <c r="H173" s="1">
        <f>SUM(OSRRefH22_4x_0)</f>
        <v>18188</v>
      </c>
      <c r="I173" s="1"/>
      <c r="J173" s="5">
        <f t="shared" ref="J173:J178" si="43">IF(H$12=0,0,H173/H$12)</f>
        <v>1.8692126655909889E-2</v>
      </c>
      <c r="K173" s="1"/>
      <c r="L173" s="1">
        <f t="shared" ref="L173:L178" si="44">+D173-H173</f>
        <v>-14728.02</v>
      </c>
      <c r="M173" s="1"/>
      <c r="N173" s="5">
        <f t="shared" ref="N173:N178" si="45">IF(H173=0,0,L173/H173)</f>
        <v>-0.80976577963492413</v>
      </c>
      <c r="O173" s="14"/>
      <c r="P173" s="1">
        <f>SUM(OSRRefP22_4x_0)</f>
        <v>45421.25</v>
      </c>
      <c r="Q173" s="1"/>
      <c r="R173" s="5">
        <f t="shared" ref="R173:R178" si="46">IF(P$12=0,0,P173/P$12)</f>
        <v>9.7483375174413078E-3</v>
      </c>
      <c r="S173" s="1"/>
      <c r="T173" s="1">
        <f>SUM(OSRRefT22_4x_0)</f>
        <v>131958</v>
      </c>
      <c r="U173" s="1"/>
      <c r="V173" s="5">
        <f t="shared" ref="V173:V178" si="47">IF(T$12=0,0,T173/T$12)</f>
        <v>1.6913685065384508E-2</v>
      </c>
      <c r="W173" s="1"/>
      <c r="X173" s="1">
        <f t="shared" ref="X173:X178" si="48">+P173-T173</f>
        <v>-86536.75</v>
      </c>
      <c r="Y173" s="1"/>
      <c r="Z173" s="5">
        <f t="shared" ref="Z173:Z178" si="49">IF(T173=0,0,X173/T173)</f>
        <v>-0.65579009988026493</v>
      </c>
    </row>
    <row r="174" spans="1:26" s="24" customFormat="1" hidden="1" outlineLevel="2" x14ac:dyDescent="0.25">
      <c r="A174" s="28"/>
      <c r="B174" s="11" t="str">
        <f>CONCATENATE("          ", "6381", " - ", "BANK/CREDIT CARD FEES")</f>
        <v xml:space="preserve">          6381 - BANK/CREDIT CARD FEES</v>
      </c>
      <c r="C174" s="11"/>
      <c r="D174" s="6">
        <v>3459.98</v>
      </c>
      <c r="E174" s="2"/>
      <c r="F174" s="7">
        <f t="shared" si="42"/>
        <v>8.7482196258794626E-3</v>
      </c>
      <c r="G174" s="2"/>
      <c r="H174" s="6">
        <v>18188</v>
      </c>
      <c r="I174" s="2"/>
      <c r="J174" s="7">
        <f t="shared" si="43"/>
        <v>1.8692126655909889E-2</v>
      </c>
      <c r="K174" s="2"/>
      <c r="L174" s="6">
        <f t="shared" si="44"/>
        <v>-14728.02</v>
      </c>
      <c r="M174" s="2"/>
      <c r="N174" s="7">
        <f t="shared" si="45"/>
        <v>-0.80976577963492413</v>
      </c>
      <c r="O174" s="11"/>
      <c r="P174" s="6">
        <v>45421.25</v>
      </c>
      <c r="Q174" s="2"/>
      <c r="R174" s="7">
        <f t="shared" si="46"/>
        <v>9.7483375174413078E-3</v>
      </c>
      <c r="S174" s="2"/>
      <c r="T174" s="6">
        <v>131958</v>
      </c>
      <c r="U174" s="2"/>
      <c r="V174" s="7">
        <f t="shared" si="47"/>
        <v>1.6913685065384508E-2</v>
      </c>
      <c r="W174" s="2"/>
      <c r="X174" s="6">
        <f t="shared" si="48"/>
        <v>-86536.75</v>
      </c>
      <c r="Y174" s="2"/>
      <c r="Z174" s="7">
        <f t="shared" si="49"/>
        <v>-0.65579009988026493</v>
      </c>
    </row>
    <row r="175" spans="1:26" s="29" customFormat="1" outlineLevel="1" collapsed="1" x14ac:dyDescent="0.25">
      <c r="A175" s="27"/>
      <c r="B175" s="14" t="str">
        <f>CONCATENATE("     ","Depreciation                                      ")</f>
        <v xml:space="preserve">     Depreciation                                      </v>
      </c>
      <c r="C175" s="14"/>
      <c r="D175" s="1">
        <f>SUM(OSRRefD22_5x_0)</f>
        <v>77647.64</v>
      </c>
      <c r="E175" s="1"/>
      <c r="F175" s="5">
        <f t="shared" si="42"/>
        <v>0.19632443197683894</v>
      </c>
      <c r="G175" s="1"/>
      <c r="H175" s="1">
        <f>SUM(OSRRefH22_5x_0)</f>
        <v>77087</v>
      </c>
      <c r="I175" s="1"/>
      <c r="J175" s="5">
        <f t="shared" si="43"/>
        <v>7.9223662168689563E-2</v>
      </c>
      <c r="K175" s="1"/>
      <c r="L175" s="1">
        <f t="shared" si="44"/>
        <v>560.63999999999942</v>
      </c>
      <c r="M175" s="1"/>
      <c r="N175" s="5">
        <f t="shared" si="45"/>
        <v>7.2728216171338801E-3</v>
      </c>
      <c r="O175" s="14"/>
      <c r="P175" s="1">
        <f>SUM(OSRRefP22_5x_0)</f>
        <v>391010.05</v>
      </c>
      <c r="Q175" s="1"/>
      <c r="R175" s="5">
        <f t="shared" si="46"/>
        <v>8.3918825221930296E-2</v>
      </c>
      <c r="S175" s="1"/>
      <c r="T175" s="1">
        <f>SUM(OSRRefT22_5x_0)</f>
        <v>389495</v>
      </c>
      <c r="U175" s="1"/>
      <c r="V175" s="5">
        <f t="shared" si="47"/>
        <v>4.9923428397989807E-2</v>
      </c>
      <c r="W175" s="1"/>
      <c r="X175" s="1">
        <f t="shared" si="48"/>
        <v>1515.0499999999884</v>
      </c>
      <c r="Y175" s="1"/>
      <c r="Z175" s="5">
        <f t="shared" si="49"/>
        <v>3.8897803566155876E-3</v>
      </c>
    </row>
    <row r="176" spans="1:26" s="24" customFormat="1" hidden="1" outlineLevel="2" x14ac:dyDescent="0.25">
      <c r="A176" s="28"/>
      <c r="B176" s="11" t="str">
        <f>CONCATENATE("          ", "6321", " - ", "BUILDING DEPRECIATION")</f>
        <v xml:space="preserve">          6321 - BUILDING DEPRECIATION</v>
      </c>
      <c r="C176" s="11"/>
      <c r="D176" s="6">
        <v>45060.52</v>
      </c>
      <c r="E176" s="2"/>
      <c r="F176" s="7">
        <f t="shared" si="42"/>
        <v>0.11393109943304124</v>
      </c>
      <c r="G176" s="2"/>
      <c r="H176" s="6"/>
      <c r="I176" s="2"/>
      <c r="J176" s="7">
        <f t="shared" si="43"/>
        <v>0</v>
      </c>
      <c r="K176" s="2"/>
      <c r="L176" s="6">
        <f t="shared" si="44"/>
        <v>45060.52</v>
      </c>
      <c r="M176" s="2"/>
      <c r="N176" s="7">
        <f t="shared" si="45"/>
        <v>0</v>
      </c>
      <c r="O176" s="11"/>
      <c r="P176" s="6">
        <v>226086.79</v>
      </c>
      <c r="Q176" s="2"/>
      <c r="R176" s="7">
        <f t="shared" si="46"/>
        <v>4.8522890434650613E-2</v>
      </c>
      <c r="S176" s="2"/>
      <c r="T176" s="6"/>
      <c r="U176" s="2"/>
      <c r="V176" s="7">
        <f t="shared" si="47"/>
        <v>0</v>
      </c>
      <c r="W176" s="2"/>
      <c r="X176" s="6">
        <f t="shared" si="48"/>
        <v>226086.79</v>
      </c>
      <c r="Y176" s="2"/>
      <c r="Z176" s="7">
        <f t="shared" si="49"/>
        <v>0</v>
      </c>
    </row>
    <row r="177" spans="1:26" s="24" customFormat="1" hidden="1" outlineLevel="2" x14ac:dyDescent="0.25">
      <c r="A177" s="28"/>
      <c r="B177" s="11" t="str">
        <f>CONCATENATE("          ", "6322", " - ", "EQUIPMENT DEPRECIATION EXPENSE")</f>
        <v xml:space="preserve">          6322 - EQUIPMENT DEPRECIATION EXPENSE</v>
      </c>
      <c r="C177" s="11"/>
      <c r="D177" s="6">
        <v>32587.119999999999</v>
      </c>
      <c r="E177" s="2"/>
      <c r="F177" s="7">
        <f t="shared" si="42"/>
        <v>8.2393332543797687E-2</v>
      </c>
      <c r="G177" s="2"/>
      <c r="H177" s="6">
        <v>76537</v>
      </c>
      <c r="I177" s="2"/>
      <c r="J177" s="7">
        <f t="shared" si="43"/>
        <v>7.8658417520528656E-2</v>
      </c>
      <c r="K177" s="2"/>
      <c r="L177" s="6">
        <f t="shared" si="44"/>
        <v>-43949.880000000005</v>
      </c>
      <c r="M177" s="2"/>
      <c r="N177" s="7">
        <f t="shared" si="45"/>
        <v>-0.57423050289402522</v>
      </c>
      <c r="O177" s="11"/>
      <c r="P177" s="6">
        <v>164923.25999999998</v>
      </c>
      <c r="Q177" s="2"/>
      <c r="R177" s="7">
        <f t="shared" si="46"/>
        <v>3.5395934787279676E-2</v>
      </c>
      <c r="S177" s="2"/>
      <c r="T177" s="6">
        <v>386745</v>
      </c>
      <c r="U177" s="2"/>
      <c r="V177" s="7">
        <f t="shared" si="47"/>
        <v>4.9570947806212066E-2</v>
      </c>
      <c r="W177" s="2"/>
      <c r="X177" s="6">
        <f t="shared" si="48"/>
        <v>-221821.74000000002</v>
      </c>
      <c r="Y177" s="2"/>
      <c r="Z177" s="7">
        <f t="shared" si="49"/>
        <v>-0.57356071830275768</v>
      </c>
    </row>
    <row r="178" spans="1:26" s="24" customFormat="1" hidden="1" outlineLevel="2" x14ac:dyDescent="0.25">
      <c r="A178" s="28"/>
      <c r="B178" s="11" t="str">
        <f>CONCATENATE("          ", "6326", " - ", "VEHICLES DEPRECIATION EXPENSE")</f>
        <v xml:space="preserve">          6326 - VEHICLES DEPRECIATION EXPENSE</v>
      </c>
      <c r="C178" s="11"/>
      <c r="D178" s="6"/>
      <c r="E178" s="2"/>
      <c r="F178" s="7">
        <f t="shared" si="42"/>
        <v>0</v>
      </c>
      <c r="G178" s="2"/>
      <c r="H178" s="6">
        <v>550</v>
      </c>
      <c r="I178" s="2"/>
      <c r="J178" s="7">
        <f t="shared" si="43"/>
        <v>5.6524464816089942E-4</v>
      </c>
      <c r="K178" s="2"/>
      <c r="L178" s="6">
        <f t="shared" si="44"/>
        <v>-550</v>
      </c>
      <c r="M178" s="2"/>
      <c r="N178" s="7">
        <f t="shared" si="45"/>
        <v>-1</v>
      </c>
      <c r="O178" s="11"/>
      <c r="P178" s="6"/>
      <c r="Q178" s="2"/>
      <c r="R178" s="7">
        <f t="shared" si="46"/>
        <v>0</v>
      </c>
      <c r="S178" s="2"/>
      <c r="T178" s="6">
        <v>2750</v>
      </c>
      <c r="U178" s="2"/>
      <c r="V178" s="7">
        <f t="shared" si="47"/>
        <v>3.5248059177774292E-4</v>
      </c>
      <c r="W178" s="2"/>
      <c r="X178" s="6">
        <f t="shared" si="48"/>
        <v>-2750</v>
      </c>
      <c r="Y178" s="2"/>
      <c r="Z178" s="7">
        <f t="shared" si="49"/>
        <v>-1</v>
      </c>
    </row>
    <row r="179" spans="1:26" s="29" customFormat="1" outlineLevel="1" collapsed="1" x14ac:dyDescent="0.25">
      <c r="A179" s="27"/>
      <c r="B179" s="14" t="str">
        <f>CONCATENATE("     ","Discounts and Markdowns                           ")</f>
        <v xml:space="preserve">     Discounts and Markdowns                           </v>
      </c>
      <c r="C179" s="14"/>
      <c r="D179" s="1">
        <f>SUM(OSRRefD22_6x_0)</f>
        <v>418.85</v>
      </c>
      <c r="E179" s="1"/>
      <c r="F179" s="5">
        <f t="shared" ref="F179:F181" si="50">IF(D$12=0,0,D179/D$12)</f>
        <v>1.0590210898038755E-3</v>
      </c>
      <c r="G179" s="1"/>
      <c r="H179" s="1">
        <f>SUM(OSRRefH22_6x_0)</f>
        <v>28845</v>
      </c>
      <c r="I179" s="1"/>
      <c r="J179" s="5">
        <f t="shared" ref="J179:J181" si="51">IF(H$12=0,0,H179/H$12)</f>
        <v>2.96445125021839E-2</v>
      </c>
      <c r="K179" s="1"/>
      <c r="L179" s="1">
        <f t="shared" ref="L179:L181" si="52">+D179-H179</f>
        <v>-28426.15</v>
      </c>
      <c r="M179" s="1"/>
      <c r="N179" s="5">
        <f t="shared" ref="N179:N181" si="53">IF(H179=0,0,L179/H179)</f>
        <v>-0.98547928583810029</v>
      </c>
      <c r="O179" s="14"/>
      <c r="P179" s="1">
        <f>SUM(OSRRefP22_6x_0)</f>
        <v>0</v>
      </c>
      <c r="Q179" s="1"/>
      <c r="R179" s="5">
        <f t="shared" ref="R179:R181" si="54">IF(P$12=0,0,P179/P$12)</f>
        <v>0</v>
      </c>
      <c r="S179" s="1"/>
      <c r="T179" s="1">
        <f>SUM(OSRRefT22_6x_0)</f>
        <v>156582</v>
      </c>
      <c r="U179" s="1"/>
      <c r="V179" s="5">
        <f t="shared" ref="V179:V181" si="55">IF(T$12=0,0,T179/T$12)</f>
        <v>2.0069860371542743E-2</v>
      </c>
      <c r="W179" s="1"/>
      <c r="X179" s="1">
        <f t="shared" ref="X179:X181" si="56">+P179-T179</f>
        <v>-156582</v>
      </c>
      <c r="Y179" s="1"/>
      <c r="Z179" s="5">
        <f t="shared" ref="Z179:Z181" si="57">IF(T179=0,0,X179/T179)</f>
        <v>-1</v>
      </c>
    </row>
    <row r="180" spans="1:26" s="24" customFormat="1" hidden="1" outlineLevel="2" x14ac:dyDescent="0.25">
      <c r="A180" s="28"/>
      <c r="B180" s="11" t="str">
        <f>CONCATENATE("          ", "6382", " - ", "DISCOUNTS/MARK DOWNS")</f>
        <v xml:space="preserve">          6382 - DISCOUNTS/MARK DOWNS</v>
      </c>
      <c r="C180" s="11"/>
      <c r="D180" s="6"/>
      <c r="E180" s="2"/>
      <c r="F180" s="7">
        <f t="shared" si="50"/>
        <v>0</v>
      </c>
      <c r="G180" s="2"/>
      <c r="H180" s="6">
        <v>28845</v>
      </c>
      <c r="I180" s="2"/>
      <c r="J180" s="7">
        <f t="shared" si="51"/>
        <v>2.96445125021839E-2</v>
      </c>
      <c r="K180" s="2"/>
      <c r="L180" s="6">
        <f t="shared" si="52"/>
        <v>-28845</v>
      </c>
      <c r="M180" s="2"/>
      <c r="N180" s="7">
        <f t="shared" si="53"/>
        <v>-1</v>
      </c>
      <c r="O180" s="11"/>
      <c r="P180" s="6">
        <v>0</v>
      </c>
      <c r="Q180" s="2"/>
      <c r="R180" s="7">
        <f t="shared" si="54"/>
        <v>0</v>
      </c>
      <c r="S180" s="2"/>
      <c r="T180" s="6">
        <v>156582</v>
      </c>
      <c r="U180" s="2"/>
      <c r="V180" s="7">
        <f t="shared" si="55"/>
        <v>2.0069860371542743E-2</v>
      </c>
      <c r="W180" s="2"/>
      <c r="X180" s="6">
        <f t="shared" si="56"/>
        <v>-156582</v>
      </c>
      <c r="Y180" s="2"/>
      <c r="Z180" s="7">
        <f t="shared" si="57"/>
        <v>-1</v>
      </c>
    </row>
    <row r="181" spans="1:26" s="24" customFormat="1" hidden="1" outlineLevel="2" x14ac:dyDescent="0.25">
      <c r="A181" s="28"/>
      <c r="B181" s="11" t="str">
        <f>CONCATENATE("          ", "9175", " - ", "EARNED DISCOUNTS")</f>
        <v xml:space="preserve">          9175 - EARNED DISCOUNTS</v>
      </c>
      <c r="C181" s="11"/>
      <c r="D181" s="6">
        <v>418.85</v>
      </c>
      <c r="E181" s="2"/>
      <c r="F181" s="7">
        <f t="shared" si="50"/>
        <v>1.0590210898038755E-3</v>
      </c>
      <c r="G181" s="2"/>
      <c r="H181" s="6"/>
      <c r="I181" s="2"/>
      <c r="J181" s="7">
        <f t="shared" si="51"/>
        <v>0</v>
      </c>
      <c r="K181" s="2"/>
      <c r="L181" s="6">
        <f t="shared" si="52"/>
        <v>418.85</v>
      </c>
      <c r="M181" s="2"/>
      <c r="N181" s="7">
        <f t="shared" si="53"/>
        <v>0</v>
      </c>
      <c r="O181" s="11"/>
      <c r="P181" s="6">
        <v>0</v>
      </c>
      <c r="Q181" s="2"/>
      <c r="R181" s="7">
        <f t="shared" si="54"/>
        <v>0</v>
      </c>
      <c r="S181" s="2"/>
      <c r="T181" s="6"/>
      <c r="U181" s="2"/>
      <c r="V181" s="7">
        <f t="shared" si="55"/>
        <v>0</v>
      </c>
      <c r="W181" s="2"/>
      <c r="X181" s="6">
        <f t="shared" si="56"/>
        <v>0</v>
      </c>
      <c r="Y181" s="2"/>
      <c r="Z181" s="7">
        <f t="shared" si="57"/>
        <v>0</v>
      </c>
    </row>
    <row r="182" spans="1:26" s="29" customFormat="1" outlineLevel="1" collapsed="1" x14ac:dyDescent="0.25">
      <c r="A182" s="27"/>
      <c r="B182" s="14" t="str">
        <f>CONCATENATE("     ","Donations                                         ")</f>
        <v xml:space="preserve">     Donations                                         </v>
      </c>
      <c r="C182" s="14"/>
      <c r="D182" s="1">
        <f>SUM(OSRRefD22_7x_0)</f>
        <v>7935.78</v>
      </c>
      <c r="E182" s="1"/>
      <c r="F182" s="5">
        <f t="shared" ref="F182:F184" si="58">IF(D$12=0,0,D182/D$12)</f>
        <v>2.0064840358228E-2</v>
      </c>
      <c r="G182" s="1"/>
      <c r="H182" s="1">
        <f>SUM(OSRRefH22_7x_0)</f>
        <v>15773</v>
      </c>
      <c r="I182" s="1"/>
      <c r="J182" s="5">
        <f t="shared" ref="J182:J184" si="59">IF(H$12=0,0,H182/H$12)</f>
        <v>1.6210188791712484E-2</v>
      </c>
      <c r="K182" s="1"/>
      <c r="L182" s="1">
        <f t="shared" ref="L182:L184" si="60">+D182-H182</f>
        <v>-7837.22</v>
      </c>
      <c r="M182" s="1"/>
      <c r="N182" s="5">
        <f t="shared" ref="N182:N184" si="61">IF(H182=0,0,L182/H182)</f>
        <v>-0.49687567361947632</v>
      </c>
      <c r="O182" s="14"/>
      <c r="P182" s="1">
        <f>SUM(OSRRefP22_7x_0)</f>
        <v>30155.96</v>
      </c>
      <c r="Q182" s="1"/>
      <c r="R182" s="5">
        <f t="shared" ref="R182:R184" si="62">IF(P$12=0,0,P182/P$12)</f>
        <v>6.4720912841997819E-3</v>
      </c>
      <c r="S182" s="1"/>
      <c r="T182" s="1">
        <f>SUM(OSRRefT22_7x_0)</f>
        <v>59092</v>
      </c>
      <c r="U182" s="1"/>
      <c r="V182" s="5">
        <f t="shared" ref="V182:V184" si="63">IF(T$12=0,0,T182/T$12)</f>
        <v>7.5741029561201397E-3</v>
      </c>
      <c r="W182" s="1"/>
      <c r="X182" s="1">
        <f t="shared" ref="X182:X184" si="64">+P182-T182</f>
        <v>-28936.04</v>
      </c>
      <c r="Y182" s="1"/>
      <c r="Z182" s="5">
        <f t="shared" ref="Z182:Z184" si="65">IF(T182=0,0,X182/T182)</f>
        <v>-0.48967779056386651</v>
      </c>
    </row>
    <row r="183" spans="1:26" s="24" customFormat="1" hidden="1" outlineLevel="2" x14ac:dyDescent="0.25">
      <c r="A183" s="28"/>
      <c r="B183" s="11" t="str">
        <f>CONCATENATE("          ", "6395", " - ", "DONATION-OFF CAMPUS")</f>
        <v xml:space="preserve">          6395 - DONATION-OFF CAMPUS</v>
      </c>
      <c r="C183" s="11"/>
      <c r="D183" s="6"/>
      <c r="E183" s="2"/>
      <c r="F183" s="7">
        <f t="shared" si="58"/>
        <v>0</v>
      </c>
      <c r="G183" s="2"/>
      <c r="H183" s="6"/>
      <c r="I183" s="2"/>
      <c r="J183" s="7">
        <f t="shared" si="59"/>
        <v>0</v>
      </c>
      <c r="K183" s="2"/>
      <c r="L183" s="6">
        <f t="shared" si="60"/>
        <v>0</v>
      </c>
      <c r="M183" s="2"/>
      <c r="N183" s="7">
        <f t="shared" si="61"/>
        <v>0</v>
      </c>
      <c r="O183" s="11"/>
      <c r="P183" s="6"/>
      <c r="Q183" s="2"/>
      <c r="R183" s="7">
        <f t="shared" si="62"/>
        <v>0</v>
      </c>
      <c r="S183" s="2"/>
      <c r="T183" s="6">
        <v>0</v>
      </c>
      <c r="U183" s="2"/>
      <c r="V183" s="7">
        <f t="shared" si="63"/>
        <v>0</v>
      </c>
      <c r="W183" s="2"/>
      <c r="X183" s="6">
        <f t="shared" si="64"/>
        <v>0</v>
      </c>
      <c r="Y183" s="2"/>
      <c r="Z183" s="7">
        <f t="shared" si="65"/>
        <v>0</v>
      </c>
    </row>
    <row r="184" spans="1:26" s="24" customFormat="1" hidden="1" outlineLevel="2" x14ac:dyDescent="0.25">
      <c r="A184" s="28"/>
      <c r="B184" s="11" t="str">
        <f>CONCATENATE("          ", "6399", " - ", "DONATION-ON CAMPUS")</f>
        <v xml:space="preserve">          6399 - DONATION-ON CAMPUS</v>
      </c>
      <c r="C184" s="11"/>
      <c r="D184" s="6">
        <v>7935.78</v>
      </c>
      <c r="E184" s="2"/>
      <c r="F184" s="7">
        <f t="shared" si="58"/>
        <v>2.0064840358228E-2</v>
      </c>
      <c r="G184" s="2"/>
      <c r="H184" s="6">
        <v>15773</v>
      </c>
      <c r="I184" s="2"/>
      <c r="J184" s="7">
        <f t="shared" si="59"/>
        <v>1.6210188791712484E-2</v>
      </c>
      <c r="K184" s="2"/>
      <c r="L184" s="6">
        <f t="shared" si="60"/>
        <v>-7837.22</v>
      </c>
      <c r="M184" s="2"/>
      <c r="N184" s="7">
        <f t="shared" si="61"/>
        <v>-0.49687567361947632</v>
      </c>
      <c r="O184" s="11"/>
      <c r="P184" s="6">
        <v>30155.96</v>
      </c>
      <c r="Q184" s="2"/>
      <c r="R184" s="7">
        <f t="shared" si="62"/>
        <v>6.4720912841997819E-3</v>
      </c>
      <c r="S184" s="2"/>
      <c r="T184" s="6">
        <v>59092</v>
      </c>
      <c r="U184" s="2"/>
      <c r="V184" s="7">
        <f t="shared" si="63"/>
        <v>7.5741029561201397E-3</v>
      </c>
      <c r="W184" s="2"/>
      <c r="X184" s="6">
        <f t="shared" si="64"/>
        <v>-28936.04</v>
      </c>
      <c r="Y184" s="2"/>
      <c r="Z184" s="7">
        <f t="shared" si="65"/>
        <v>-0.48967779056386651</v>
      </c>
    </row>
    <row r="185" spans="1:26" s="29" customFormat="1" outlineLevel="1" collapsed="1" x14ac:dyDescent="0.25">
      <c r="A185" s="27"/>
      <c r="B185" s="14" t="str">
        <f>CONCATENATE("     ","Employees' Appreciation                           ")</f>
        <v xml:space="preserve">     Employees' Appreciation                           </v>
      </c>
      <c r="C185" s="14"/>
      <c r="D185" s="1">
        <f>SUM(OSRRefD22_8x_0)</f>
        <v>0</v>
      </c>
      <c r="E185" s="1"/>
      <c r="F185" s="5">
        <f t="shared" ref="F185:F191" si="66">IF(D$12=0,0,D185/D$12)</f>
        <v>0</v>
      </c>
      <c r="G185" s="1"/>
      <c r="H185" s="1">
        <f>SUM(OSRRefH22_8x_0)</f>
        <v>740</v>
      </c>
      <c r="I185" s="1"/>
      <c r="J185" s="5">
        <f t="shared" ref="J185:J191" si="67">IF(H$12=0,0,H185/H$12)</f>
        <v>7.6051098116193744E-4</v>
      </c>
      <c r="K185" s="1"/>
      <c r="L185" s="1">
        <f t="shared" ref="L185:L191" si="68">+D185-H185</f>
        <v>-740</v>
      </c>
      <c r="M185" s="1"/>
      <c r="N185" s="5">
        <f t="shared" ref="N185:N191" si="69">IF(H185=0,0,L185/H185)</f>
        <v>-1</v>
      </c>
      <c r="O185" s="14"/>
      <c r="P185" s="1">
        <f>SUM(OSRRefP22_8x_0)</f>
        <v>107.7</v>
      </c>
      <c r="Q185" s="1"/>
      <c r="R185" s="5">
        <f t="shared" ref="R185:R191" si="70">IF(P$12=0,0,P185/P$12)</f>
        <v>2.3114642389375651E-5</v>
      </c>
      <c r="S185" s="1"/>
      <c r="T185" s="1">
        <f>SUM(OSRRefT22_8x_0)</f>
        <v>3550</v>
      </c>
      <c r="U185" s="1"/>
      <c r="V185" s="5">
        <f t="shared" ref="V185:V191" si="71">IF(T$12=0,0,T185/T$12)</f>
        <v>4.5502040029490447E-4</v>
      </c>
      <c r="W185" s="1"/>
      <c r="X185" s="1">
        <f t="shared" ref="X185:X191" si="72">+P185-T185</f>
        <v>-3442.3</v>
      </c>
      <c r="Y185" s="1"/>
      <c r="Z185" s="5">
        <f t="shared" ref="Z185:Z191" si="73">IF(T185=0,0,X185/T185)</f>
        <v>-0.96966197183098601</v>
      </c>
    </row>
    <row r="186" spans="1:26" s="24" customFormat="1" hidden="1" outlineLevel="2" x14ac:dyDescent="0.25">
      <c r="A186" s="28"/>
      <c r="B186" s="11" t="str">
        <f>CONCATENATE("          ", "6277", " - ", "EMPLOYEE APPRECIATION")</f>
        <v xml:space="preserve">          6277 - EMPLOYEE APPRECIATION</v>
      </c>
      <c r="C186" s="11"/>
      <c r="D186" s="6"/>
      <c r="E186" s="2"/>
      <c r="F186" s="7">
        <f t="shared" si="66"/>
        <v>0</v>
      </c>
      <c r="G186" s="2"/>
      <c r="H186" s="6">
        <v>740</v>
      </c>
      <c r="I186" s="2"/>
      <c r="J186" s="7">
        <f t="shared" si="67"/>
        <v>7.6051098116193744E-4</v>
      </c>
      <c r="K186" s="2"/>
      <c r="L186" s="6">
        <f t="shared" si="68"/>
        <v>-740</v>
      </c>
      <c r="M186" s="2"/>
      <c r="N186" s="7">
        <f t="shared" si="69"/>
        <v>-1</v>
      </c>
      <c r="O186" s="11"/>
      <c r="P186" s="6">
        <v>107.7</v>
      </c>
      <c r="Q186" s="2"/>
      <c r="R186" s="7">
        <f t="shared" si="70"/>
        <v>2.3114642389375651E-5</v>
      </c>
      <c r="S186" s="2"/>
      <c r="T186" s="6">
        <v>3550</v>
      </c>
      <c r="U186" s="2"/>
      <c r="V186" s="7">
        <f t="shared" si="71"/>
        <v>4.5502040029490447E-4</v>
      </c>
      <c r="W186" s="2"/>
      <c r="X186" s="6">
        <f t="shared" si="72"/>
        <v>-3442.3</v>
      </c>
      <c r="Y186" s="2"/>
      <c r="Z186" s="7">
        <f t="shared" si="73"/>
        <v>-0.96966197183098601</v>
      </c>
    </row>
    <row r="187" spans="1:26" s="29" customFormat="1" outlineLevel="1" collapsed="1" x14ac:dyDescent="0.25">
      <c r="A187" s="27"/>
      <c r="B187" s="14" t="str">
        <f>CONCATENATE("     ","Equipment Rental                                  ")</f>
        <v xml:space="preserve">     Equipment Rental                                  </v>
      </c>
      <c r="C187" s="14"/>
      <c r="D187" s="1">
        <f>SUM(OSRRefD22_9x_0)</f>
        <v>2755.22</v>
      </c>
      <c r="E187" s="1"/>
      <c r="F187" s="5">
        <f t="shared" si="66"/>
        <v>6.9663031802541086E-3</v>
      </c>
      <c r="G187" s="1"/>
      <c r="H187" s="1">
        <f>SUM(OSRRefH22_9x_0)</f>
        <v>4151.333333333333</v>
      </c>
      <c r="I187" s="1"/>
      <c r="J187" s="5">
        <f t="shared" si="67"/>
        <v>4.2663980898156612E-3</v>
      </c>
      <c r="K187" s="1"/>
      <c r="L187" s="1">
        <f t="shared" si="68"/>
        <v>-1396.1133333333332</v>
      </c>
      <c r="M187" s="1"/>
      <c r="N187" s="5">
        <f t="shared" si="69"/>
        <v>-0.33630480167014615</v>
      </c>
      <c r="O187" s="14"/>
      <c r="P187" s="1">
        <f>SUM(OSRRefP22_9x_0)</f>
        <v>14296.15</v>
      </c>
      <c r="Q187" s="1"/>
      <c r="R187" s="5">
        <f t="shared" si="70"/>
        <v>3.068248791038744E-3</v>
      </c>
      <c r="S187" s="1"/>
      <c r="T187" s="1">
        <f>SUM(OSRRefT22_9x_0)</f>
        <v>20387.666666666664</v>
      </c>
      <c r="U187" s="1"/>
      <c r="V187" s="5">
        <f t="shared" si="71"/>
        <v>2.6131842951396468E-3</v>
      </c>
      <c r="W187" s="1"/>
      <c r="X187" s="1">
        <f t="shared" si="72"/>
        <v>-6091.5166666666646</v>
      </c>
      <c r="Y187" s="1"/>
      <c r="Z187" s="5">
        <f t="shared" si="73"/>
        <v>-0.29878439579484323</v>
      </c>
    </row>
    <row r="188" spans="1:26" s="24" customFormat="1" hidden="1" outlineLevel="2" x14ac:dyDescent="0.25">
      <c r="A188" s="28"/>
      <c r="B188" s="11" t="str">
        <f>CONCATENATE("          ", "6351", " - ", "EQUIPMENT RENTAL")</f>
        <v xml:space="preserve">          6351 - EQUIPMENT RENTAL</v>
      </c>
      <c r="C188" s="11"/>
      <c r="D188" s="6">
        <v>2755.22</v>
      </c>
      <c r="E188" s="2"/>
      <c r="F188" s="7">
        <f t="shared" si="66"/>
        <v>6.9663031802541086E-3</v>
      </c>
      <c r="G188" s="2"/>
      <c r="H188" s="6">
        <v>4151.333333333333</v>
      </c>
      <c r="I188" s="2"/>
      <c r="J188" s="7">
        <f t="shared" si="67"/>
        <v>4.2663980898156612E-3</v>
      </c>
      <c r="K188" s="2"/>
      <c r="L188" s="6">
        <f t="shared" si="68"/>
        <v>-1396.1133333333332</v>
      </c>
      <c r="M188" s="2"/>
      <c r="N188" s="7">
        <f t="shared" si="69"/>
        <v>-0.33630480167014615</v>
      </c>
      <c r="O188" s="11"/>
      <c r="P188" s="6">
        <v>14296.15</v>
      </c>
      <c r="Q188" s="2"/>
      <c r="R188" s="7">
        <f t="shared" si="70"/>
        <v>3.068248791038744E-3</v>
      </c>
      <c r="S188" s="2"/>
      <c r="T188" s="6">
        <v>20387.666666666664</v>
      </c>
      <c r="U188" s="2"/>
      <c r="V188" s="7">
        <f t="shared" si="71"/>
        <v>2.6131842951396468E-3</v>
      </c>
      <c r="W188" s="2"/>
      <c r="X188" s="6">
        <f t="shared" si="72"/>
        <v>-6091.5166666666646</v>
      </c>
      <c r="Y188" s="2"/>
      <c r="Z188" s="7">
        <f t="shared" si="73"/>
        <v>-0.29878439579484323</v>
      </c>
    </row>
    <row r="189" spans="1:26" s="29" customFormat="1" outlineLevel="1" collapsed="1" x14ac:dyDescent="0.25">
      <c r="A189" s="27"/>
      <c r="B189" s="14" t="str">
        <f>CONCATENATE("     ","Freight out/Postage                               ")</f>
        <v xml:space="preserve">     Freight out/Postage                               </v>
      </c>
      <c r="C189" s="14"/>
      <c r="D189" s="1">
        <f>SUM(OSRRefD22_10x_0)</f>
        <v>12775.59</v>
      </c>
      <c r="E189" s="1"/>
      <c r="F189" s="5">
        <f t="shared" si="66"/>
        <v>3.2301824626208647E-2</v>
      </c>
      <c r="G189" s="1"/>
      <c r="H189" s="1">
        <f>SUM(OSRRefH22_10x_0)</f>
        <v>8646</v>
      </c>
      <c r="I189" s="1"/>
      <c r="J189" s="5">
        <f t="shared" si="67"/>
        <v>8.8856458690893397E-3</v>
      </c>
      <c r="K189" s="1"/>
      <c r="L189" s="1">
        <f t="shared" si="68"/>
        <v>4129.59</v>
      </c>
      <c r="M189" s="1"/>
      <c r="N189" s="5">
        <f t="shared" si="69"/>
        <v>0.47763011797362942</v>
      </c>
      <c r="O189" s="14"/>
      <c r="P189" s="1">
        <f>SUM(OSRRefP22_10x_0)</f>
        <v>-18425.149999999994</v>
      </c>
      <c r="Q189" s="1"/>
      <c r="R189" s="5">
        <f t="shared" si="70"/>
        <v>-3.9544173929489754E-3</v>
      </c>
      <c r="S189" s="1"/>
      <c r="T189" s="1">
        <f>SUM(OSRRefT22_10x_0)</f>
        <v>43622</v>
      </c>
      <c r="U189" s="1"/>
      <c r="V189" s="5">
        <f t="shared" si="71"/>
        <v>5.591239408919528E-3</v>
      </c>
      <c r="W189" s="1"/>
      <c r="X189" s="1">
        <f t="shared" si="72"/>
        <v>-62047.149999999994</v>
      </c>
      <c r="Y189" s="1"/>
      <c r="Z189" s="5">
        <f t="shared" si="73"/>
        <v>-1.4223820549264132</v>
      </c>
    </row>
    <row r="190" spans="1:26" s="24" customFormat="1" hidden="1" outlineLevel="2" x14ac:dyDescent="0.25">
      <c r="A190" s="28"/>
      <c r="B190" s="11" t="str">
        <f>CONCATENATE("          ", "6305", " - ", "FREIGHT OUT")</f>
        <v xml:space="preserve">          6305 - FREIGHT OUT</v>
      </c>
      <c r="C190" s="11"/>
      <c r="D190" s="6">
        <v>17095.3</v>
      </c>
      <c r="E190" s="2"/>
      <c r="F190" s="7">
        <f t="shared" si="66"/>
        <v>4.3223787123132844E-2</v>
      </c>
      <c r="G190" s="2"/>
      <c r="H190" s="6">
        <v>7616</v>
      </c>
      <c r="I190" s="2"/>
      <c r="J190" s="7">
        <f t="shared" si="67"/>
        <v>7.8270968007152913E-3</v>
      </c>
      <c r="K190" s="2"/>
      <c r="L190" s="6">
        <f t="shared" si="68"/>
        <v>9479.2999999999993</v>
      </c>
      <c r="M190" s="2"/>
      <c r="N190" s="7">
        <f t="shared" si="69"/>
        <v>1.2446559873949579</v>
      </c>
      <c r="O190" s="11"/>
      <c r="P190" s="6">
        <v>103982.96</v>
      </c>
      <c r="Q190" s="2"/>
      <c r="R190" s="7">
        <f t="shared" si="70"/>
        <v>2.2316888904259546E-2</v>
      </c>
      <c r="S190" s="2"/>
      <c r="T190" s="6">
        <v>27722</v>
      </c>
      <c r="U190" s="2"/>
      <c r="V190" s="7">
        <f t="shared" si="71"/>
        <v>3.5532607146409414E-3</v>
      </c>
      <c r="W190" s="2"/>
      <c r="X190" s="6">
        <f t="shared" si="72"/>
        <v>76260.960000000006</v>
      </c>
      <c r="Y190" s="2"/>
      <c r="Z190" s="7">
        <f t="shared" si="73"/>
        <v>2.7509184041555446</v>
      </c>
    </row>
    <row r="191" spans="1:26" s="24" customFormat="1" hidden="1" outlineLevel="2" x14ac:dyDescent="0.25">
      <c r="A191" s="28"/>
      <c r="B191" s="11" t="str">
        <f>CONCATENATE("          ", "6307", " - ", "POSTAGE")</f>
        <v xml:space="preserve">          6307 - POSTAGE</v>
      </c>
      <c r="C191" s="11"/>
      <c r="D191" s="6">
        <v>-4319.71</v>
      </c>
      <c r="E191" s="2"/>
      <c r="F191" s="7">
        <f t="shared" si="66"/>
        <v>-1.0921962496924195E-2</v>
      </c>
      <c r="G191" s="2"/>
      <c r="H191" s="6">
        <v>1030</v>
      </c>
      <c r="I191" s="2"/>
      <c r="J191" s="7">
        <f t="shared" si="67"/>
        <v>1.0585490683740482E-3</v>
      </c>
      <c r="K191" s="2"/>
      <c r="L191" s="6">
        <f t="shared" si="68"/>
        <v>-5349.71</v>
      </c>
      <c r="M191" s="2"/>
      <c r="N191" s="7">
        <f t="shared" si="69"/>
        <v>-5.1938932038834951</v>
      </c>
      <c r="O191" s="11"/>
      <c r="P191" s="6">
        <v>-122408.11</v>
      </c>
      <c r="Q191" s="2"/>
      <c r="R191" s="7">
        <f t="shared" si="70"/>
        <v>-2.6271306297208519E-2</v>
      </c>
      <c r="S191" s="2"/>
      <c r="T191" s="6">
        <v>15900</v>
      </c>
      <c r="U191" s="2"/>
      <c r="V191" s="7">
        <f t="shared" si="71"/>
        <v>2.0379786942785862E-3</v>
      </c>
      <c r="W191" s="2"/>
      <c r="X191" s="6">
        <f t="shared" si="72"/>
        <v>-138308.10999999999</v>
      </c>
      <c r="Y191" s="2"/>
      <c r="Z191" s="7">
        <f t="shared" si="73"/>
        <v>-8.6986232704402511</v>
      </c>
    </row>
    <row r="192" spans="1:26" s="29" customFormat="1" outlineLevel="1" collapsed="1" x14ac:dyDescent="0.25">
      <c r="A192" s="27"/>
      <c r="B192" s="14" t="str">
        <f>CONCATENATE("     ","General                                           ")</f>
        <v xml:space="preserve">     General                                           </v>
      </c>
      <c r="C192" s="14"/>
      <c r="D192" s="1">
        <f>SUM(OSRRefD22_11x_0)</f>
        <v>4700.7299999999996</v>
      </c>
      <c r="E192" s="1"/>
      <c r="F192" s="5">
        <f t="shared" ref="F192:F195" si="74">IF(D$12=0,0,D192/D$12)</f>
        <v>1.1885334147006734E-2</v>
      </c>
      <c r="G192" s="1"/>
      <c r="H192" s="1">
        <f>SUM(OSRRefH22_11x_0)</f>
        <v>3560</v>
      </c>
      <c r="I192" s="1"/>
      <c r="J192" s="5">
        <f t="shared" ref="J192:J195" si="75">IF(H$12=0,0,H192/H$12)</f>
        <v>3.6586744499141855E-3</v>
      </c>
      <c r="K192" s="1"/>
      <c r="L192" s="1">
        <f t="shared" ref="L192:L195" si="76">+D192-H192</f>
        <v>1140.7299999999996</v>
      </c>
      <c r="M192" s="1"/>
      <c r="N192" s="5">
        <f t="shared" ref="N192:N195" si="77">IF(H192=0,0,L192/H192)</f>
        <v>0.32042977528089878</v>
      </c>
      <c r="O192" s="14"/>
      <c r="P192" s="1">
        <f>SUM(OSRRefP22_11x_0)</f>
        <v>13080.25</v>
      </c>
      <c r="Q192" s="1"/>
      <c r="R192" s="5">
        <f t="shared" ref="R192:R195" si="78">IF(P$12=0,0,P192/P$12)</f>
        <v>2.8072915609436478E-3</v>
      </c>
      <c r="S192" s="1"/>
      <c r="T192" s="1">
        <f>SUM(OSRRefT22_11x_0)</f>
        <v>20850</v>
      </c>
      <c r="U192" s="1"/>
      <c r="V192" s="5">
        <f t="shared" ref="V192:V195" si="79">IF(T$12=0,0,T192/T$12)</f>
        <v>2.6724437594785235E-3</v>
      </c>
      <c r="W192" s="1"/>
      <c r="X192" s="1">
        <f t="shared" ref="X192:X195" si="80">+P192-T192</f>
        <v>-7769.75</v>
      </c>
      <c r="Y192" s="1"/>
      <c r="Z192" s="5">
        <f t="shared" ref="Z192:Z195" si="81">IF(T192=0,0,X192/T192)</f>
        <v>-0.37264988009592326</v>
      </c>
    </row>
    <row r="193" spans="1:26" s="24" customFormat="1" hidden="1" outlineLevel="2" x14ac:dyDescent="0.25">
      <c r="A193" s="28"/>
      <c r="B193" s="11" t="str">
        <f>CONCATENATE("          ", "6269", " - ", "ENTERTAINMENT")</f>
        <v xml:space="preserve">          6269 - ENTERTAINMENT</v>
      </c>
      <c r="C193" s="11"/>
      <c r="D193" s="6"/>
      <c r="E193" s="2"/>
      <c r="F193" s="7">
        <f t="shared" si="74"/>
        <v>0</v>
      </c>
      <c r="G193" s="2"/>
      <c r="H193" s="6">
        <v>1250</v>
      </c>
      <c r="I193" s="2"/>
      <c r="J193" s="7">
        <f t="shared" si="75"/>
        <v>1.2846469276384079E-3</v>
      </c>
      <c r="K193" s="2"/>
      <c r="L193" s="6">
        <f t="shared" si="76"/>
        <v>-1250</v>
      </c>
      <c r="M193" s="2"/>
      <c r="N193" s="7">
        <f t="shared" si="77"/>
        <v>-1</v>
      </c>
      <c r="O193" s="11"/>
      <c r="P193" s="6"/>
      <c r="Q193" s="2"/>
      <c r="R193" s="7">
        <f t="shared" si="78"/>
        <v>0</v>
      </c>
      <c r="S193" s="2"/>
      <c r="T193" s="6">
        <v>1375</v>
      </c>
      <c r="U193" s="2"/>
      <c r="V193" s="7">
        <f t="shared" si="79"/>
        <v>1.7624029588887146E-4</v>
      </c>
      <c r="W193" s="2"/>
      <c r="X193" s="6">
        <f t="shared" si="80"/>
        <v>-1375</v>
      </c>
      <c r="Y193" s="2"/>
      <c r="Z193" s="7">
        <f t="shared" si="81"/>
        <v>-1</v>
      </c>
    </row>
    <row r="194" spans="1:26" s="24" customFormat="1" hidden="1" outlineLevel="2" x14ac:dyDescent="0.25">
      <c r="A194" s="28"/>
      <c r="B194" s="11" t="str">
        <f>CONCATENATE("          ", "6276", " - ", "PROPERTY TAX")</f>
        <v xml:space="preserve">          6276 - PROPERTY TAX</v>
      </c>
      <c r="C194" s="11"/>
      <c r="D194" s="6"/>
      <c r="E194" s="2"/>
      <c r="F194" s="7">
        <f t="shared" si="74"/>
        <v>0</v>
      </c>
      <c r="G194" s="2"/>
      <c r="H194" s="6"/>
      <c r="I194" s="2"/>
      <c r="J194" s="7">
        <f t="shared" si="75"/>
        <v>0</v>
      </c>
      <c r="K194" s="2"/>
      <c r="L194" s="6">
        <f t="shared" si="76"/>
        <v>0</v>
      </c>
      <c r="M194" s="2"/>
      <c r="N194" s="7">
        <f t="shared" si="77"/>
        <v>0</v>
      </c>
      <c r="O194" s="11"/>
      <c r="P194" s="6"/>
      <c r="Q194" s="2"/>
      <c r="R194" s="7">
        <f t="shared" si="78"/>
        <v>0</v>
      </c>
      <c r="S194" s="2"/>
      <c r="T194" s="6">
        <v>150</v>
      </c>
      <c r="U194" s="2"/>
      <c r="V194" s="7">
        <f t="shared" si="79"/>
        <v>1.9226214096967794E-5</v>
      </c>
      <c r="W194" s="2"/>
      <c r="X194" s="6">
        <f t="shared" si="80"/>
        <v>-150</v>
      </c>
      <c r="Y194" s="2"/>
      <c r="Z194" s="7">
        <f t="shared" si="81"/>
        <v>-1</v>
      </c>
    </row>
    <row r="195" spans="1:26" s="24" customFormat="1" hidden="1" outlineLevel="2" x14ac:dyDescent="0.25">
      <c r="A195" s="28"/>
      <c r="B195" s="11" t="str">
        <f>CONCATENATE("          ", "6279", " - ", "GENERAL EXPENSE")</f>
        <v xml:space="preserve">          6279 - GENERAL EXPENSE</v>
      </c>
      <c r="C195" s="11"/>
      <c r="D195" s="6">
        <v>4700.7299999999996</v>
      </c>
      <c r="E195" s="2"/>
      <c r="F195" s="7">
        <f t="shared" si="74"/>
        <v>1.1885334147006734E-2</v>
      </c>
      <c r="G195" s="2"/>
      <c r="H195" s="6">
        <v>2310</v>
      </c>
      <c r="I195" s="2"/>
      <c r="J195" s="7">
        <f t="shared" si="75"/>
        <v>2.3740275222757777E-3</v>
      </c>
      <c r="K195" s="2"/>
      <c r="L195" s="6">
        <f t="shared" si="76"/>
        <v>2390.7299999999996</v>
      </c>
      <c r="M195" s="2"/>
      <c r="N195" s="7">
        <f t="shared" si="77"/>
        <v>1.0349480519480518</v>
      </c>
      <c r="O195" s="11"/>
      <c r="P195" s="6">
        <v>13080.25</v>
      </c>
      <c r="Q195" s="2"/>
      <c r="R195" s="7">
        <f t="shared" si="78"/>
        <v>2.8072915609436478E-3</v>
      </c>
      <c r="S195" s="2"/>
      <c r="T195" s="6">
        <v>19325</v>
      </c>
      <c r="U195" s="2"/>
      <c r="V195" s="7">
        <f t="shared" si="79"/>
        <v>2.4769772494926843E-3</v>
      </c>
      <c r="W195" s="2"/>
      <c r="X195" s="6">
        <f t="shared" si="80"/>
        <v>-6244.75</v>
      </c>
      <c r="Y195" s="2"/>
      <c r="Z195" s="7">
        <f t="shared" si="81"/>
        <v>-0.32314359637774903</v>
      </c>
    </row>
    <row r="196" spans="1:26" s="29" customFormat="1" outlineLevel="1" collapsed="1" x14ac:dyDescent="0.25">
      <c r="A196" s="27"/>
      <c r="B196" s="14" t="str">
        <f>CONCATENATE("     ","Insurance                                         ")</f>
        <v xml:space="preserve">     Insurance                                         </v>
      </c>
      <c r="C196" s="14"/>
      <c r="D196" s="1">
        <f>SUM(OSRRefD22_12x_0)</f>
        <v>8563.32</v>
      </c>
      <c r="E196" s="1"/>
      <c r="F196" s="5">
        <f t="shared" ref="F196:F212" si="82">IF(D$12=0,0,D196/D$12)</f>
        <v>2.1651513617618055E-2</v>
      </c>
      <c r="G196" s="1"/>
      <c r="H196" s="1">
        <f>SUM(OSRRefH22_12x_0)</f>
        <v>9321</v>
      </c>
      <c r="I196" s="1"/>
      <c r="J196" s="5">
        <f t="shared" ref="J196:J212" si="83">IF(H$12=0,0,H196/H$12)</f>
        <v>9.5793552100140802E-3</v>
      </c>
      <c r="K196" s="1"/>
      <c r="L196" s="1">
        <f t="shared" ref="L196:L212" si="84">+D196-H196</f>
        <v>-757.68000000000029</v>
      </c>
      <c r="M196" s="1"/>
      <c r="N196" s="5">
        <f t="shared" ref="N196:N212" si="85">IF(H196=0,0,L196/H196)</f>
        <v>-8.128741551335697E-2</v>
      </c>
      <c r="O196" s="14"/>
      <c r="P196" s="1">
        <f>SUM(OSRRefP22_12x_0)</f>
        <v>48928.6</v>
      </c>
      <c r="Q196" s="1"/>
      <c r="R196" s="5">
        <f t="shared" ref="R196:R212" si="86">IF(P$12=0,0,P196/P$12)</f>
        <v>1.0501087201604508E-2</v>
      </c>
      <c r="S196" s="1"/>
      <c r="T196" s="1">
        <f>SUM(OSRRefT22_12x_0)</f>
        <v>46605</v>
      </c>
      <c r="U196" s="1"/>
      <c r="V196" s="5">
        <f t="shared" ref="V196:V212" si="87">IF(T$12=0,0,T196/T$12)</f>
        <v>5.9735847199278939E-3</v>
      </c>
      <c r="W196" s="1"/>
      <c r="X196" s="1">
        <f t="shared" ref="X196:X212" si="88">+P196-T196</f>
        <v>2323.5999999999985</v>
      </c>
      <c r="Y196" s="1"/>
      <c r="Z196" s="5">
        <f t="shared" ref="Z196:Z212" si="89">IF(T196=0,0,X196/T196)</f>
        <v>4.9857311447269577E-2</v>
      </c>
    </row>
    <row r="197" spans="1:26" s="24" customFormat="1" hidden="1" outlineLevel="2" x14ac:dyDescent="0.25">
      <c r="A197" s="28"/>
      <c r="B197" s="11" t="str">
        <f>CONCATENATE("          ", "6314", " - ", "LIABILITY INSURANCE")</f>
        <v xml:space="preserve">          6314 - LIABILITY INSURANCE</v>
      </c>
      <c r="C197" s="11"/>
      <c r="D197" s="6">
        <v>8563.32</v>
      </c>
      <c r="E197" s="2"/>
      <c r="F197" s="7">
        <f t="shared" si="82"/>
        <v>2.1651513617618055E-2</v>
      </c>
      <c r="G197" s="2"/>
      <c r="H197" s="6">
        <v>9321</v>
      </c>
      <c r="I197" s="2"/>
      <c r="J197" s="7">
        <f t="shared" si="83"/>
        <v>9.5793552100140802E-3</v>
      </c>
      <c r="K197" s="2"/>
      <c r="L197" s="6">
        <f t="shared" si="84"/>
        <v>-757.68000000000029</v>
      </c>
      <c r="M197" s="2"/>
      <c r="N197" s="7">
        <f t="shared" si="85"/>
        <v>-8.128741551335697E-2</v>
      </c>
      <c r="O197" s="11"/>
      <c r="P197" s="6">
        <v>48928.6</v>
      </c>
      <c r="Q197" s="2"/>
      <c r="R197" s="7">
        <f t="shared" si="86"/>
        <v>1.0501087201604508E-2</v>
      </c>
      <c r="S197" s="2"/>
      <c r="T197" s="6">
        <v>46605</v>
      </c>
      <c r="U197" s="2"/>
      <c r="V197" s="7">
        <f t="shared" si="87"/>
        <v>5.9735847199278939E-3</v>
      </c>
      <c r="W197" s="2"/>
      <c r="X197" s="6">
        <f t="shared" si="88"/>
        <v>2323.5999999999985</v>
      </c>
      <c r="Y197" s="2"/>
      <c r="Z197" s="7">
        <f t="shared" si="89"/>
        <v>4.9857311447269577E-2</v>
      </c>
    </row>
    <row r="198" spans="1:26" s="29" customFormat="1" outlineLevel="1" collapsed="1" x14ac:dyDescent="0.25">
      <c r="A198" s="27"/>
      <c r="B198" s="14" t="str">
        <f>CONCATENATE("     ","Interest                                          ")</f>
        <v xml:space="preserve">     Interest                                          </v>
      </c>
      <c r="C198" s="14"/>
      <c r="D198" s="1">
        <f>SUM(OSRRefD22_13x_0)</f>
        <v>11554</v>
      </c>
      <c r="E198" s="1"/>
      <c r="F198" s="5">
        <f t="shared" si="82"/>
        <v>2.921315428338063E-2</v>
      </c>
      <c r="G198" s="1"/>
      <c r="H198" s="1">
        <f>SUM(OSRRefH22_13x_0)</f>
        <v>11554</v>
      </c>
      <c r="I198" s="1"/>
      <c r="J198" s="5">
        <f t="shared" si="83"/>
        <v>1.1874248481547332E-2</v>
      </c>
      <c r="K198" s="1"/>
      <c r="L198" s="1">
        <f t="shared" si="84"/>
        <v>0</v>
      </c>
      <c r="M198" s="1"/>
      <c r="N198" s="5">
        <f t="shared" si="85"/>
        <v>0</v>
      </c>
      <c r="O198" s="14"/>
      <c r="P198" s="1">
        <f>SUM(OSRRefP22_13x_0)</f>
        <v>57021</v>
      </c>
      <c r="Q198" s="1"/>
      <c r="R198" s="5">
        <f t="shared" si="86"/>
        <v>1.2237883228269164E-2</v>
      </c>
      <c r="S198" s="1"/>
      <c r="T198" s="1">
        <f>SUM(OSRRefT22_13x_0)</f>
        <v>57770</v>
      </c>
      <c r="U198" s="1"/>
      <c r="V198" s="5">
        <f t="shared" si="87"/>
        <v>7.40465592254553E-3</v>
      </c>
      <c r="W198" s="1"/>
      <c r="X198" s="1">
        <f t="shared" si="88"/>
        <v>-749</v>
      </c>
      <c r="Y198" s="1"/>
      <c r="Z198" s="5">
        <f t="shared" si="89"/>
        <v>-1.2965206854768912E-2</v>
      </c>
    </row>
    <row r="199" spans="1:26" s="24" customFormat="1" hidden="1" outlineLevel="2" x14ac:dyDescent="0.25">
      <c r="A199" s="28"/>
      <c r="B199" s="11" t="str">
        <f>CONCATENATE("          ", "6401", " - ", "INTEREST EXPENSE")</f>
        <v xml:space="preserve">          6401 - INTEREST EXPENSE</v>
      </c>
      <c r="C199" s="11"/>
      <c r="D199" s="6">
        <v>11554</v>
      </c>
      <c r="E199" s="2"/>
      <c r="F199" s="7">
        <f t="shared" si="82"/>
        <v>2.921315428338063E-2</v>
      </c>
      <c r="G199" s="2"/>
      <c r="H199" s="6">
        <v>11554</v>
      </c>
      <c r="I199" s="2"/>
      <c r="J199" s="7">
        <f t="shared" si="83"/>
        <v>1.1874248481547332E-2</v>
      </c>
      <c r="K199" s="2"/>
      <c r="L199" s="6">
        <f t="shared" si="84"/>
        <v>0</v>
      </c>
      <c r="M199" s="2"/>
      <c r="N199" s="7">
        <f t="shared" si="85"/>
        <v>0</v>
      </c>
      <c r="O199" s="11"/>
      <c r="P199" s="6">
        <v>57021</v>
      </c>
      <c r="Q199" s="2"/>
      <c r="R199" s="7">
        <f t="shared" si="86"/>
        <v>1.2237883228269164E-2</v>
      </c>
      <c r="S199" s="2"/>
      <c r="T199" s="6">
        <v>57770</v>
      </c>
      <c r="U199" s="2"/>
      <c r="V199" s="7">
        <f t="shared" si="87"/>
        <v>7.40465592254553E-3</v>
      </c>
      <c r="W199" s="2"/>
      <c r="X199" s="6">
        <f t="shared" si="88"/>
        <v>-749</v>
      </c>
      <c r="Y199" s="2"/>
      <c r="Z199" s="7">
        <f t="shared" si="89"/>
        <v>-1.2965206854768912E-2</v>
      </c>
    </row>
    <row r="200" spans="1:26" s="29" customFormat="1" outlineLevel="1" collapsed="1" x14ac:dyDescent="0.25">
      <c r="A200" s="27"/>
      <c r="B200" s="14" t="str">
        <f>CONCATENATE("     ","Inventory Adjustment                              ")</f>
        <v xml:space="preserve">     Inventory Adjustment                              </v>
      </c>
      <c r="C200" s="14"/>
      <c r="D200" s="1">
        <f>SUM(OSRRefD22_14x_0)</f>
        <v>3350</v>
      </c>
      <c r="E200" s="1"/>
      <c r="F200" s="5">
        <f t="shared" si="82"/>
        <v>8.4701459969988846E-3</v>
      </c>
      <c r="G200" s="1"/>
      <c r="H200" s="1">
        <f>SUM(OSRRefH22_14x_0)</f>
        <v>4350</v>
      </c>
      <c r="I200" s="1"/>
      <c r="J200" s="5">
        <f t="shared" si="83"/>
        <v>4.4705713081816595E-3</v>
      </c>
      <c r="K200" s="1"/>
      <c r="L200" s="1">
        <f t="shared" si="84"/>
        <v>-1000</v>
      </c>
      <c r="M200" s="1"/>
      <c r="N200" s="5">
        <f t="shared" si="85"/>
        <v>-0.22988505747126436</v>
      </c>
      <c r="O200" s="14"/>
      <c r="P200" s="1">
        <f>SUM(OSRRefP22_14x_0)</f>
        <v>16750</v>
      </c>
      <c r="Q200" s="1"/>
      <c r="R200" s="5">
        <f t="shared" si="86"/>
        <v>3.5948956362306609E-3</v>
      </c>
      <c r="S200" s="1"/>
      <c r="T200" s="1">
        <f>SUM(OSRRefT22_14x_0)</f>
        <v>21750</v>
      </c>
      <c r="U200" s="1"/>
      <c r="V200" s="5">
        <f t="shared" si="87"/>
        <v>2.7878010440603304E-3</v>
      </c>
      <c r="W200" s="1"/>
      <c r="X200" s="1">
        <f t="shared" si="88"/>
        <v>-5000</v>
      </c>
      <c r="Y200" s="1"/>
      <c r="Z200" s="5">
        <f t="shared" si="89"/>
        <v>-0.22988505747126436</v>
      </c>
    </row>
    <row r="201" spans="1:26" s="24" customFormat="1" hidden="1" outlineLevel="2" x14ac:dyDescent="0.25">
      <c r="A201" s="28"/>
      <c r="B201" s="11" t="str">
        <f>CONCATENATE("          ", "6408", " - ", "INVENTORY ADJUSTMENT")</f>
        <v xml:space="preserve">          6408 - INVENTORY ADJUSTMENT</v>
      </c>
      <c r="C201" s="11"/>
      <c r="D201" s="6">
        <v>3350</v>
      </c>
      <c r="E201" s="2"/>
      <c r="F201" s="7">
        <f t="shared" si="82"/>
        <v>8.4701459969988846E-3</v>
      </c>
      <c r="G201" s="2"/>
      <c r="H201" s="6">
        <v>4350</v>
      </c>
      <c r="I201" s="2"/>
      <c r="J201" s="7">
        <f t="shared" si="83"/>
        <v>4.4705713081816595E-3</v>
      </c>
      <c r="K201" s="2"/>
      <c r="L201" s="6">
        <f t="shared" si="84"/>
        <v>-1000</v>
      </c>
      <c r="M201" s="2"/>
      <c r="N201" s="7">
        <f t="shared" si="85"/>
        <v>-0.22988505747126436</v>
      </c>
      <c r="O201" s="11"/>
      <c r="P201" s="6">
        <v>16750</v>
      </c>
      <c r="Q201" s="2"/>
      <c r="R201" s="7">
        <f t="shared" si="86"/>
        <v>3.5948956362306609E-3</v>
      </c>
      <c r="S201" s="2"/>
      <c r="T201" s="6">
        <v>21750</v>
      </c>
      <c r="U201" s="2"/>
      <c r="V201" s="7">
        <f t="shared" si="87"/>
        <v>2.7878010440603304E-3</v>
      </c>
      <c r="W201" s="2"/>
      <c r="X201" s="6">
        <f t="shared" si="88"/>
        <v>-5000</v>
      </c>
      <c r="Y201" s="2"/>
      <c r="Z201" s="7">
        <f t="shared" si="89"/>
        <v>-0.22988505747126436</v>
      </c>
    </row>
    <row r="202" spans="1:26" s="29" customFormat="1" outlineLevel="1" collapsed="1" x14ac:dyDescent="0.25">
      <c r="A202" s="27"/>
      <c r="B202" s="14" t="str">
        <f>CONCATENATE("     ","Professional Services                             ")</f>
        <v xml:space="preserve">     Professional Services                             </v>
      </c>
      <c r="C202" s="14"/>
      <c r="D202" s="1">
        <f>SUM(OSRRefD22_15x_0)</f>
        <v>0</v>
      </c>
      <c r="E202" s="1"/>
      <c r="F202" s="5">
        <f t="shared" si="82"/>
        <v>0</v>
      </c>
      <c r="G202" s="1"/>
      <c r="H202" s="1">
        <f>SUM(OSRRefH22_15x_0)</f>
        <v>0</v>
      </c>
      <c r="I202" s="1"/>
      <c r="J202" s="5">
        <f t="shared" si="83"/>
        <v>0</v>
      </c>
      <c r="K202" s="1"/>
      <c r="L202" s="1">
        <f t="shared" si="84"/>
        <v>0</v>
      </c>
      <c r="M202" s="1"/>
      <c r="N202" s="5">
        <f t="shared" si="85"/>
        <v>0</v>
      </c>
      <c r="O202" s="14"/>
      <c r="P202" s="1">
        <f>SUM(OSRRefP22_15x_0)</f>
        <v>0</v>
      </c>
      <c r="Q202" s="1"/>
      <c r="R202" s="5">
        <f t="shared" si="86"/>
        <v>0</v>
      </c>
      <c r="S202" s="1"/>
      <c r="T202" s="1">
        <f>SUM(OSRRefT22_15x_0)</f>
        <v>6800</v>
      </c>
      <c r="U202" s="1"/>
      <c r="V202" s="5">
        <f t="shared" si="87"/>
        <v>8.7158837239587343E-4</v>
      </c>
      <c r="W202" s="1"/>
      <c r="X202" s="1">
        <f t="shared" si="88"/>
        <v>-6800</v>
      </c>
      <c r="Y202" s="1"/>
      <c r="Z202" s="5">
        <f t="shared" si="89"/>
        <v>-1</v>
      </c>
    </row>
    <row r="203" spans="1:26" s="24" customFormat="1" hidden="1" outlineLevel="2" x14ac:dyDescent="0.25">
      <c r="A203" s="28"/>
      <c r="B203" s="11" t="str">
        <f>CONCATENATE("          ", "6336", " - ", "PROFESSIONAL SERVICES")</f>
        <v xml:space="preserve">          6336 - PROFESSIONAL SERVICES</v>
      </c>
      <c r="C203" s="11"/>
      <c r="D203" s="6"/>
      <c r="E203" s="2"/>
      <c r="F203" s="7">
        <f t="shared" si="82"/>
        <v>0</v>
      </c>
      <c r="G203" s="2"/>
      <c r="H203" s="6">
        <v>0</v>
      </c>
      <c r="I203" s="2"/>
      <c r="J203" s="7">
        <f t="shared" si="83"/>
        <v>0</v>
      </c>
      <c r="K203" s="2"/>
      <c r="L203" s="6">
        <f t="shared" si="84"/>
        <v>0</v>
      </c>
      <c r="M203" s="2"/>
      <c r="N203" s="7">
        <f t="shared" si="85"/>
        <v>0</v>
      </c>
      <c r="O203" s="11"/>
      <c r="P203" s="6"/>
      <c r="Q203" s="2"/>
      <c r="R203" s="7">
        <f t="shared" si="86"/>
        <v>0</v>
      </c>
      <c r="S203" s="2"/>
      <c r="T203" s="6">
        <v>6800</v>
      </c>
      <c r="U203" s="2"/>
      <c r="V203" s="7">
        <f t="shared" si="87"/>
        <v>8.7158837239587343E-4</v>
      </c>
      <c r="W203" s="2"/>
      <c r="X203" s="6">
        <f t="shared" si="88"/>
        <v>-6800</v>
      </c>
      <c r="Y203" s="2"/>
      <c r="Z203" s="7">
        <f t="shared" si="89"/>
        <v>-1</v>
      </c>
    </row>
    <row r="204" spans="1:26" s="29" customFormat="1" outlineLevel="1" collapsed="1" x14ac:dyDescent="0.25">
      <c r="A204" s="27"/>
      <c r="B204" s="14" t="str">
        <f>CONCATENATE("     ","R/H Commissions                                   ")</f>
        <v xml:space="preserve">     R/H Commissions                                   </v>
      </c>
      <c r="C204" s="14"/>
      <c r="D204" s="1">
        <f>SUM(OSRRefD22_16x_0)</f>
        <v>7982.87</v>
      </c>
      <c r="E204" s="1"/>
      <c r="F204" s="5">
        <f t="shared" si="82"/>
        <v>2.0183902798526113E-2</v>
      </c>
      <c r="G204" s="1"/>
      <c r="H204" s="1">
        <f>SUM(OSRRefH22_16x_0)</f>
        <v>30806</v>
      </c>
      <c r="I204" s="1"/>
      <c r="J204" s="5">
        <f t="shared" si="83"/>
        <v>3.1659866602263033E-2</v>
      </c>
      <c r="K204" s="1"/>
      <c r="L204" s="1">
        <f t="shared" si="84"/>
        <v>-22823.13</v>
      </c>
      <c r="M204" s="1"/>
      <c r="N204" s="5">
        <f t="shared" si="85"/>
        <v>-0.74086638966435114</v>
      </c>
      <c r="O204" s="14"/>
      <c r="P204" s="1">
        <f>SUM(OSRRefP22_16x_0)</f>
        <v>36703.07</v>
      </c>
      <c r="Q204" s="1"/>
      <c r="R204" s="5">
        <f t="shared" si="86"/>
        <v>7.8772361898070738E-3</v>
      </c>
      <c r="S204" s="1"/>
      <c r="T204" s="1">
        <f>SUM(OSRRefT22_16x_0)</f>
        <v>122844</v>
      </c>
      <c r="U204" s="1"/>
      <c r="V204" s="5">
        <f t="shared" si="87"/>
        <v>1.5745500296852746E-2</v>
      </c>
      <c r="W204" s="1"/>
      <c r="X204" s="1">
        <f t="shared" si="88"/>
        <v>-86140.93</v>
      </c>
      <c r="Y204" s="1"/>
      <c r="Z204" s="5">
        <f t="shared" si="89"/>
        <v>-0.70122211911041643</v>
      </c>
    </row>
    <row r="205" spans="1:26" s="24" customFormat="1" hidden="1" outlineLevel="2" x14ac:dyDescent="0.25">
      <c r="A205" s="28"/>
      <c r="B205" s="11" t="str">
        <f>CONCATENATE("          ", "6387", " - ", "COMMISSION DUE HOUSING")</f>
        <v xml:space="preserve">          6387 - COMMISSION DUE HOUSING</v>
      </c>
      <c r="C205" s="11"/>
      <c r="D205" s="6">
        <v>7982.87</v>
      </c>
      <c r="E205" s="2"/>
      <c r="F205" s="7">
        <f t="shared" si="82"/>
        <v>2.0183902798526113E-2</v>
      </c>
      <c r="G205" s="2"/>
      <c r="H205" s="6">
        <v>30806</v>
      </c>
      <c r="I205" s="2"/>
      <c r="J205" s="7">
        <f t="shared" si="83"/>
        <v>3.1659866602263033E-2</v>
      </c>
      <c r="K205" s="2"/>
      <c r="L205" s="6">
        <f t="shared" si="84"/>
        <v>-22823.13</v>
      </c>
      <c r="M205" s="2"/>
      <c r="N205" s="7">
        <f t="shared" si="85"/>
        <v>-0.74086638966435114</v>
      </c>
      <c r="O205" s="11"/>
      <c r="P205" s="6">
        <v>36703.07</v>
      </c>
      <c r="Q205" s="2"/>
      <c r="R205" s="7">
        <f t="shared" si="86"/>
        <v>7.8772361898070738E-3</v>
      </c>
      <c r="S205" s="2"/>
      <c r="T205" s="6">
        <v>122844</v>
      </c>
      <c r="U205" s="2"/>
      <c r="V205" s="7">
        <f t="shared" si="87"/>
        <v>1.5745500296852746E-2</v>
      </c>
      <c r="W205" s="2"/>
      <c r="X205" s="6">
        <f t="shared" si="88"/>
        <v>-86140.93</v>
      </c>
      <c r="Y205" s="2"/>
      <c r="Z205" s="7">
        <f t="shared" si="89"/>
        <v>-0.70122211911041643</v>
      </c>
    </row>
    <row r="206" spans="1:26" s="29" customFormat="1" outlineLevel="1" collapsed="1" x14ac:dyDescent="0.25">
      <c r="A206" s="27"/>
      <c r="B206" s="14" t="str">
        <f>CONCATENATE("     ","Rent                                              ")</f>
        <v xml:space="preserve">     Rent                                              </v>
      </c>
      <c r="C206" s="14"/>
      <c r="D206" s="1">
        <f>SUM(OSRRefD22_17x_0)</f>
        <v>6900</v>
      </c>
      <c r="E206" s="1"/>
      <c r="F206" s="5">
        <f t="shared" si="82"/>
        <v>1.7445972352027554E-2</v>
      </c>
      <c r="G206" s="1"/>
      <c r="H206" s="1">
        <f>SUM(OSRRefH22_17x_0)</f>
        <v>8843</v>
      </c>
      <c r="I206" s="1"/>
      <c r="J206" s="5">
        <f t="shared" si="83"/>
        <v>9.0881062248851525E-3</v>
      </c>
      <c r="K206" s="1"/>
      <c r="L206" s="1">
        <f t="shared" si="84"/>
        <v>-1943</v>
      </c>
      <c r="M206" s="1"/>
      <c r="N206" s="5">
        <f t="shared" si="85"/>
        <v>-0.21972181386407327</v>
      </c>
      <c r="O206" s="14"/>
      <c r="P206" s="1">
        <f>SUM(OSRRefP22_17x_0)</f>
        <v>40050</v>
      </c>
      <c r="Q206" s="1"/>
      <c r="R206" s="5">
        <f t="shared" si="86"/>
        <v>8.5955564317037585E-3</v>
      </c>
      <c r="S206" s="1"/>
      <c r="T206" s="1">
        <f>SUM(OSRRefT22_17x_0)</f>
        <v>44216</v>
      </c>
      <c r="U206" s="1"/>
      <c r="V206" s="5">
        <f t="shared" si="87"/>
        <v>5.6673752167435204E-3</v>
      </c>
      <c r="W206" s="1"/>
      <c r="X206" s="1">
        <f t="shared" si="88"/>
        <v>-4166</v>
      </c>
      <c r="Y206" s="1"/>
      <c r="Z206" s="5">
        <f t="shared" si="89"/>
        <v>-9.4219287135878418E-2</v>
      </c>
    </row>
    <row r="207" spans="1:26" s="24" customFormat="1" hidden="1" outlineLevel="2" x14ac:dyDescent="0.25">
      <c r="A207" s="28"/>
      <c r="B207" s="11" t="str">
        <f>CONCATENATE("          ", "6273", " - ", "RENT")</f>
        <v xml:space="preserve">          6273 - RENT</v>
      </c>
      <c r="C207" s="11"/>
      <c r="D207" s="6">
        <v>6900</v>
      </c>
      <c r="E207" s="2"/>
      <c r="F207" s="7">
        <f t="shared" si="82"/>
        <v>1.7445972352027554E-2</v>
      </c>
      <c r="G207" s="2"/>
      <c r="H207" s="6">
        <v>8843</v>
      </c>
      <c r="I207" s="2"/>
      <c r="J207" s="7">
        <f t="shared" si="83"/>
        <v>9.0881062248851525E-3</v>
      </c>
      <c r="K207" s="2"/>
      <c r="L207" s="6">
        <f t="shared" si="84"/>
        <v>-1943</v>
      </c>
      <c r="M207" s="2"/>
      <c r="N207" s="7">
        <f t="shared" si="85"/>
        <v>-0.21972181386407327</v>
      </c>
      <c r="O207" s="11"/>
      <c r="P207" s="6">
        <v>40050</v>
      </c>
      <c r="Q207" s="2"/>
      <c r="R207" s="7">
        <f t="shared" si="86"/>
        <v>8.5955564317037585E-3</v>
      </c>
      <c r="S207" s="2"/>
      <c r="T207" s="6">
        <v>44216</v>
      </c>
      <c r="U207" s="2"/>
      <c r="V207" s="7">
        <f t="shared" si="87"/>
        <v>5.6673752167435204E-3</v>
      </c>
      <c r="W207" s="2"/>
      <c r="X207" s="6">
        <f t="shared" si="88"/>
        <v>-4166</v>
      </c>
      <c r="Y207" s="2"/>
      <c r="Z207" s="7">
        <f t="shared" si="89"/>
        <v>-9.4219287135878418E-2</v>
      </c>
    </row>
    <row r="208" spans="1:26" s="29" customFormat="1" outlineLevel="1" collapsed="1" x14ac:dyDescent="0.25">
      <c r="A208" s="27"/>
      <c r="B208" s="14" t="str">
        <f>CONCATENATE("     ","Repair and Maintenance                            ")</f>
        <v xml:space="preserve">     Repair and Maintenance                            </v>
      </c>
      <c r="C208" s="14"/>
      <c r="D208" s="1">
        <f>SUM(OSRRefD22_18x_0)</f>
        <v>8365.2999999999993</v>
      </c>
      <c r="E208" s="1"/>
      <c r="F208" s="5">
        <f t="shared" si="82"/>
        <v>2.1150839495132766E-2</v>
      </c>
      <c r="G208" s="1"/>
      <c r="H208" s="1">
        <f>SUM(OSRRefH22_18x_0)</f>
        <v>27358</v>
      </c>
      <c r="I208" s="1"/>
      <c r="J208" s="5">
        <f t="shared" si="83"/>
        <v>2.8116296517065251E-2</v>
      </c>
      <c r="K208" s="1"/>
      <c r="L208" s="1">
        <f t="shared" si="84"/>
        <v>-18992.7</v>
      </c>
      <c r="M208" s="1"/>
      <c r="N208" s="5">
        <f t="shared" si="85"/>
        <v>-0.69422837926749037</v>
      </c>
      <c r="O208" s="14"/>
      <c r="P208" s="1">
        <f>SUM(OSRRefP22_18x_0)</f>
        <v>249581.35</v>
      </c>
      <c r="Q208" s="1"/>
      <c r="R208" s="5">
        <f t="shared" si="86"/>
        <v>5.3565307820869087E-2</v>
      </c>
      <c r="S208" s="1"/>
      <c r="T208" s="1">
        <f>SUM(OSRRefT22_18x_0)</f>
        <v>279477</v>
      </c>
      <c r="U208" s="1"/>
      <c r="V208" s="5">
        <f t="shared" si="87"/>
        <v>3.5821897581188457E-2</v>
      </c>
      <c r="W208" s="1"/>
      <c r="X208" s="1">
        <f t="shared" si="88"/>
        <v>-29895.649999999994</v>
      </c>
      <c r="Y208" s="1"/>
      <c r="Z208" s="5">
        <f t="shared" si="89"/>
        <v>-0.10696998321865482</v>
      </c>
    </row>
    <row r="209" spans="1:26" s="24" customFormat="1" hidden="1" outlineLevel="2" x14ac:dyDescent="0.25">
      <c r="A209" s="28"/>
      <c r="B209" s="11" t="str">
        <f>CONCATENATE("          ", "6371", " - ", "COMPUTER SOFTWARE MAINTENANCE")</f>
        <v xml:space="preserve">          6371 - COMPUTER SOFTWARE MAINTENANCE</v>
      </c>
      <c r="C209" s="11"/>
      <c r="D209" s="6"/>
      <c r="E209" s="2"/>
      <c r="F209" s="7">
        <f t="shared" si="82"/>
        <v>0</v>
      </c>
      <c r="G209" s="2"/>
      <c r="H209" s="6">
        <v>8500</v>
      </c>
      <c r="I209" s="2"/>
      <c r="J209" s="7">
        <f t="shared" si="83"/>
        <v>8.7355991079411735E-3</v>
      </c>
      <c r="K209" s="2"/>
      <c r="L209" s="6">
        <f t="shared" si="84"/>
        <v>-8500</v>
      </c>
      <c r="M209" s="2"/>
      <c r="N209" s="7">
        <f t="shared" si="85"/>
        <v>-1</v>
      </c>
      <c r="O209" s="11"/>
      <c r="P209" s="6">
        <v>58436.47</v>
      </c>
      <c r="Q209" s="2"/>
      <c r="R209" s="7">
        <f t="shared" si="86"/>
        <v>1.254167229849098E-2</v>
      </c>
      <c r="S209" s="2"/>
      <c r="T209" s="6">
        <v>178543</v>
      </c>
      <c r="U209" s="2"/>
      <c r="V209" s="7">
        <f t="shared" si="87"/>
        <v>2.2884706290099473E-2</v>
      </c>
      <c r="W209" s="2"/>
      <c r="X209" s="6">
        <f t="shared" si="88"/>
        <v>-120106.53</v>
      </c>
      <c r="Y209" s="2"/>
      <c r="Z209" s="7">
        <f t="shared" si="89"/>
        <v>-0.67270366242305779</v>
      </c>
    </row>
    <row r="210" spans="1:26" s="24" customFormat="1" hidden="1" outlineLevel="2" x14ac:dyDescent="0.25">
      <c r="A210" s="28"/>
      <c r="B210" s="11" t="str">
        <f>CONCATENATE("          ", "6372", " - ", "COMPUTER HARDWARE MAINTENANCE")</f>
        <v xml:space="preserve">          6372 - COMPUTER HARDWARE MAINTENANCE</v>
      </c>
      <c r="C210" s="11"/>
      <c r="D210" s="6"/>
      <c r="E210" s="2"/>
      <c r="F210" s="7">
        <f t="shared" si="82"/>
        <v>0</v>
      </c>
      <c r="G210" s="2"/>
      <c r="H210" s="6">
        <v>1500</v>
      </c>
      <c r="I210" s="2"/>
      <c r="J210" s="7">
        <f t="shared" si="83"/>
        <v>1.5415763131660894E-3</v>
      </c>
      <c r="K210" s="2"/>
      <c r="L210" s="6">
        <f t="shared" si="84"/>
        <v>-1500</v>
      </c>
      <c r="M210" s="2"/>
      <c r="N210" s="7">
        <f t="shared" si="85"/>
        <v>-1</v>
      </c>
      <c r="O210" s="11"/>
      <c r="P210" s="6">
        <v>0</v>
      </c>
      <c r="Q210" s="2"/>
      <c r="R210" s="7">
        <f t="shared" si="86"/>
        <v>0</v>
      </c>
      <c r="S210" s="2"/>
      <c r="T210" s="6">
        <v>11020</v>
      </c>
      <c r="U210" s="2"/>
      <c r="V210" s="7">
        <f t="shared" si="87"/>
        <v>1.4124858623239007E-3</v>
      </c>
      <c r="W210" s="2"/>
      <c r="X210" s="6">
        <f t="shared" si="88"/>
        <v>-11020</v>
      </c>
      <c r="Y210" s="2"/>
      <c r="Z210" s="7">
        <f t="shared" si="89"/>
        <v>-1</v>
      </c>
    </row>
    <row r="211" spans="1:26" s="24" customFormat="1" hidden="1" outlineLevel="2" x14ac:dyDescent="0.25">
      <c r="A211" s="28"/>
      <c r="B211" s="11" t="str">
        <f>CONCATENATE("          ", "6373", " - ", "MAINTENANCE CONTRACTS")</f>
        <v xml:space="preserve">          6373 - MAINTENANCE CONTRACTS</v>
      </c>
      <c r="C211" s="11"/>
      <c r="D211" s="6">
        <v>1348.82</v>
      </c>
      <c r="E211" s="2"/>
      <c r="F211" s="7">
        <f t="shared" si="82"/>
        <v>3.4103589025886671E-3</v>
      </c>
      <c r="G211" s="2"/>
      <c r="H211" s="6">
        <v>6103</v>
      </c>
      <c r="I211" s="2"/>
      <c r="J211" s="7">
        <f t="shared" si="83"/>
        <v>6.2721601595017622E-3</v>
      </c>
      <c r="K211" s="2"/>
      <c r="L211" s="6">
        <f t="shared" si="84"/>
        <v>-4754.18</v>
      </c>
      <c r="M211" s="2"/>
      <c r="N211" s="7">
        <f t="shared" si="85"/>
        <v>-0.77899066033098485</v>
      </c>
      <c r="O211" s="11"/>
      <c r="P211" s="6">
        <v>161459.07</v>
      </c>
      <c r="Q211" s="2"/>
      <c r="R211" s="7">
        <f t="shared" si="86"/>
        <v>3.4652448129723033E-2</v>
      </c>
      <c r="S211" s="2"/>
      <c r="T211" s="6">
        <v>32801</v>
      </c>
      <c r="U211" s="2"/>
      <c r="V211" s="7">
        <f t="shared" si="87"/>
        <v>4.2042603239642708E-3</v>
      </c>
      <c r="W211" s="2"/>
      <c r="X211" s="6">
        <f t="shared" si="88"/>
        <v>128658.07</v>
      </c>
      <c r="Y211" s="2"/>
      <c r="Z211" s="7">
        <f t="shared" si="89"/>
        <v>3.9223825493125211</v>
      </c>
    </row>
    <row r="212" spans="1:26" s="24" customFormat="1" hidden="1" outlineLevel="2" x14ac:dyDescent="0.25">
      <c r="A212" s="28"/>
      <c r="B212" s="11" t="str">
        <f>CONCATENATE("          ", "6375", " - ", "OUTSIDE REPAIRS &amp; MAINTENANCE")</f>
        <v xml:space="preserve">          6375 - OUTSIDE REPAIRS &amp; MAINTENANCE</v>
      </c>
      <c r="C212" s="11"/>
      <c r="D212" s="6">
        <v>7016.48</v>
      </c>
      <c r="E212" s="2"/>
      <c r="F212" s="7">
        <f t="shared" si="82"/>
        <v>1.7740480592544097E-2</v>
      </c>
      <c r="G212" s="2"/>
      <c r="H212" s="6">
        <v>11255</v>
      </c>
      <c r="I212" s="2"/>
      <c r="J212" s="7">
        <f t="shared" si="83"/>
        <v>1.1566960936456224E-2</v>
      </c>
      <c r="K212" s="2"/>
      <c r="L212" s="6">
        <f t="shared" si="84"/>
        <v>-4238.5200000000004</v>
      </c>
      <c r="M212" s="2"/>
      <c r="N212" s="7">
        <f t="shared" si="85"/>
        <v>-0.3765899600177699</v>
      </c>
      <c r="O212" s="11"/>
      <c r="P212" s="6">
        <v>29685.809999999998</v>
      </c>
      <c r="Q212" s="2"/>
      <c r="R212" s="7">
        <f t="shared" si="86"/>
        <v>6.3711873926550746E-3</v>
      </c>
      <c r="S212" s="2"/>
      <c r="T212" s="6">
        <v>57113</v>
      </c>
      <c r="U212" s="2"/>
      <c r="V212" s="7">
        <f t="shared" si="87"/>
        <v>7.3204451048008113E-3</v>
      </c>
      <c r="W212" s="2"/>
      <c r="X212" s="6">
        <f t="shared" si="88"/>
        <v>-27427.190000000002</v>
      </c>
      <c r="Y212" s="2"/>
      <c r="Z212" s="7">
        <f t="shared" si="89"/>
        <v>-0.48022674347346495</v>
      </c>
    </row>
    <row r="213" spans="1:26" s="29" customFormat="1" outlineLevel="1" collapsed="1" x14ac:dyDescent="0.25">
      <c r="A213" s="27"/>
      <c r="B213" s="14" t="str">
        <f>CONCATENATE("     ","Royalty &amp; Commissions                             ")</f>
        <v xml:space="preserve">     Royalty &amp; Commissions                             </v>
      </c>
      <c r="C213" s="14"/>
      <c r="D213" s="1">
        <f>SUM(OSRRefD22_19x_0)</f>
        <v>4453.09</v>
      </c>
      <c r="E213" s="1"/>
      <c r="F213" s="5">
        <f t="shared" ref="F213:F217" si="90">IF(D$12=0,0,D213/D$12)</f>
        <v>1.1259200727694258E-2</v>
      </c>
      <c r="G213" s="1"/>
      <c r="H213" s="1">
        <f>SUM(OSRRefH22_19x_0)</f>
        <v>7801</v>
      </c>
      <c r="I213" s="1"/>
      <c r="J213" s="5">
        <f t="shared" ref="J213:J217" si="91">IF(H$12=0,0,H213/H$12)</f>
        <v>8.0172245460057752E-3</v>
      </c>
      <c r="K213" s="1"/>
      <c r="L213" s="1">
        <f t="shared" ref="L213:L217" si="92">+D213-H213</f>
        <v>-3347.91</v>
      </c>
      <c r="M213" s="1"/>
      <c r="N213" s="5">
        <f t="shared" ref="N213:N217" si="93">IF(H213=0,0,L213/H213)</f>
        <v>-0.42916420971670299</v>
      </c>
      <c r="O213" s="14"/>
      <c r="P213" s="1">
        <f>SUM(OSRRefP22_19x_0)</f>
        <v>28755.79</v>
      </c>
      <c r="Q213" s="1"/>
      <c r="R213" s="5">
        <f t="shared" ref="R213:R217" si="94">IF(P$12=0,0,P213/P$12)</f>
        <v>6.1715859096934493E-3</v>
      </c>
      <c r="S213" s="1"/>
      <c r="T213" s="1">
        <f>SUM(OSRRefT22_19x_0)</f>
        <v>37530</v>
      </c>
      <c r="U213" s="1"/>
      <c r="V213" s="5">
        <f t="shared" ref="V213:V217" si="95">IF(T$12=0,0,T213/T$12)</f>
        <v>4.810398767061342E-3</v>
      </c>
      <c r="W213" s="1"/>
      <c r="X213" s="1">
        <f t="shared" ref="X213:X217" si="96">+P213-T213</f>
        <v>-8774.2099999999991</v>
      </c>
      <c r="Y213" s="1"/>
      <c r="Z213" s="5">
        <f t="shared" ref="Z213:Z217" si="97">IF(T213=0,0,X213/T213)</f>
        <v>-0.23379189981348253</v>
      </c>
    </row>
    <row r="214" spans="1:26" s="24" customFormat="1" hidden="1" outlineLevel="2" x14ac:dyDescent="0.25">
      <c r="A214" s="28"/>
      <c r="B214" s="11" t="str">
        <f>CONCATENATE("          ", "6252", " - ", "ROYALTY DUE CSTV")</f>
        <v xml:space="preserve">          6252 - ROYALTY DUE CSTV</v>
      </c>
      <c r="C214" s="11"/>
      <c r="D214" s="6"/>
      <c r="E214" s="2"/>
      <c r="F214" s="7">
        <f t="shared" si="90"/>
        <v>0</v>
      </c>
      <c r="G214" s="2"/>
      <c r="H214" s="6">
        <v>1085</v>
      </c>
      <c r="I214" s="2"/>
      <c r="J214" s="7">
        <f t="shared" si="91"/>
        <v>1.1150735331901379E-3</v>
      </c>
      <c r="K214" s="2"/>
      <c r="L214" s="6">
        <f t="shared" si="92"/>
        <v>-1085</v>
      </c>
      <c r="M214" s="2"/>
      <c r="N214" s="7">
        <f t="shared" si="93"/>
        <v>-1</v>
      </c>
      <c r="O214" s="11"/>
      <c r="P214" s="6"/>
      <c r="Q214" s="2"/>
      <c r="R214" s="7">
        <f t="shared" si="94"/>
        <v>0</v>
      </c>
      <c r="S214" s="2"/>
      <c r="T214" s="6">
        <v>5425</v>
      </c>
      <c r="U214" s="2"/>
      <c r="V214" s="7">
        <f t="shared" si="95"/>
        <v>6.9534807650700194E-4</v>
      </c>
      <c r="W214" s="2"/>
      <c r="X214" s="6">
        <f t="shared" si="96"/>
        <v>-5425</v>
      </c>
      <c r="Y214" s="2"/>
      <c r="Z214" s="7">
        <f t="shared" si="97"/>
        <v>-1</v>
      </c>
    </row>
    <row r="215" spans="1:26" s="24" customFormat="1" hidden="1" outlineLevel="2" x14ac:dyDescent="0.25">
      <c r="A215" s="28"/>
      <c r="B215" s="11" t="str">
        <f>CONCATENATE("          ", "6253", " - ", "ROYALTY DUE ATHLETICS-LRG")</f>
        <v xml:space="preserve">          6253 - ROYALTY DUE ATHLETICS-LRG</v>
      </c>
      <c r="C215" s="11"/>
      <c r="D215" s="6"/>
      <c r="E215" s="2"/>
      <c r="F215" s="7">
        <f t="shared" si="90"/>
        <v>0</v>
      </c>
      <c r="G215" s="2"/>
      <c r="H215" s="6">
        <v>4037</v>
      </c>
      <c r="I215" s="2"/>
      <c r="J215" s="7">
        <f t="shared" si="91"/>
        <v>4.1488957175010019E-3</v>
      </c>
      <c r="K215" s="2"/>
      <c r="L215" s="6">
        <f t="shared" si="92"/>
        <v>-4037</v>
      </c>
      <c r="M215" s="2"/>
      <c r="N215" s="7">
        <f t="shared" si="93"/>
        <v>-1</v>
      </c>
      <c r="O215" s="11"/>
      <c r="P215" s="6">
        <v>18411.8</v>
      </c>
      <c r="Q215" s="2"/>
      <c r="R215" s="7">
        <f t="shared" si="94"/>
        <v>3.9515522074717417E-3</v>
      </c>
      <c r="S215" s="2"/>
      <c r="T215" s="6">
        <v>20185</v>
      </c>
      <c r="U215" s="2"/>
      <c r="V215" s="7">
        <f t="shared" si="95"/>
        <v>2.5872075436486328E-3</v>
      </c>
      <c r="W215" s="2"/>
      <c r="X215" s="6">
        <f t="shared" si="96"/>
        <v>-1773.2000000000007</v>
      </c>
      <c r="Y215" s="2"/>
      <c r="Z215" s="7">
        <f t="shared" si="97"/>
        <v>-8.7847411444141724E-2</v>
      </c>
    </row>
    <row r="216" spans="1:26" s="24" customFormat="1" hidden="1" outlineLevel="2" x14ac:dyDescent="0.25">
      <c r="A216" s="28"/>
      <c r="B216" s="11" t="str">
        <f>CONCATENATE("          ", "6254", " - ", "ROYALTY &amp; COMMISSIONS")</f>
        <v xml:space="preserve">          6254 - ROYALTY &amp; COMMISSIONS</v>
      </c>
      <c r="C216" s="11"/>
      <c r="D216" s="6"/>
      <c r="E216" s="2"/>
      <c r="F216" s="7">
        <f t="shared" si="90"/>
        <v>0</v>
      </c>
      <c r="G216" s="2"/>
      <c r="H216" s="6">
        <v>1149</v>
      </c>
      <c r="I216" s="2"/>
      <c r="J216" s="7">
        <f t="shared" si="91"/>
        <v>1.1808474558852246E-3</v>
      </c>
      <c r="K216" s="2"/>
      <c r="L216" s="6">
        <f t="shared" si="92"/>
        <v>-1149</v>
      </c>
      <c r="M216" s="2"/>
      <c r="N216" s="7">
        <f t="shared" si="93"/>
        <v>-1</v>
      </c>
      <c r="O216" s="11"/>
      <c r="P216" s="6">
        <v>185.7</v>
      </c>
      <c r="Q216" s="2"/>
      <c r="R216" s="7">
        <f t="shared" si="94"/>
        <v>3.9855051919285593E-5</v>
      </c>
      <c r="S216" s="2"/>
      <c r="T216" s="6">
        <v>5745</v>
      </c>
      <c r="U216" s="2"/>
      <c r="V216" s="7">
        <f t="shared" si="95"/>
        <v>7.3636399991386652E-4</v>
      </c>
      <c r="W216" s="2"/>
      <c r="X216" s="6">
        <f t="shared" si="96"/>
        <v>-5559.3</v>
      </c>
      <c r="Y216" s="2"/>
      <c r="Z216" s="7">
        <f t="shared" si="97"/>
        <v>-0.96767624020887733</v>
      </c>
    </row>
    <row r="217" spans="1:26" s="24" customFormat="1" hidden="1" outlineLevel="2" x14ac:dyDescent="0.25">
      <c r="A217" s="28"/>
      <c r="B217" s="11" t="str">
        <f>CONCATENATE("          ", "6259", " - ", "ROYALTY &amp; COMMISSIONS")</f>
        <v xml:space="preserve">          6259 - ROYALTY &amp; COMMISSIONS</v>
      </c>
      <c r="C217" s="11"/>
      <c r="D217" s="6">
        <v>4453.09</v>
      </c>
      <c r="E217" s="2"/>
      <c r="F217" s="7">
        <f t="shared" si="90"/>
        <v>1.1259200727694258E-2</v>
      </c>
      <c r="G217" s="2"/>
      <c r="H217" s="6">
        <v>1530</v>
      </c>
      <c r="I217" s="2"/>
      <c r="J217" s="7">
        <f t="shared" si="91"/>
        <v>1.5724078394294112E-3</v>
      </c>
      <c r="K217" s="2"/>
      <c r="L217" s="6">
        <f t="shared" si="92"/>
        <v>2923.09</v>
      </c>
      <c r="M217" s="2"/>
      <c r="N217" s="7">
        <f t="shared" si="93"/>
        <v>1.910516339869281</v>
      </c>
      <c r="O217" s="11"/>
      <c r="P217" s="6">
        <v>10158.290000000001</v>
      </c>
      <c r="Q217" s="2"/>
      <c r="R217" s="7">
        <f t="shared" si="94"/>
        <v>2.1801786503024218E-3</v>
      </c>
      <c r="S217" s="2"/>
      <c r="T217" s="6">
        <v>6175</v>
      </c>
      <c r="U217" s="2"/>
      <c r="V217" s="7">
        <f t="shared" si="95"/>
        <v>7.9147914699184089E-4</v>
      </c>
      <c r="W217" s="2"/>
      <c r="X217" s="6">
        <f t="shared" si="96"/>
        <v>3983.2900000000009</v>
      </c>
      <c r="Y217" s="2"/>
      <c r="Z217" s="7">
        <f t="shared" si="97"/>
        <v>0.64506720647773297</v>
      </c>
    </row>
    <row r="218" spans="1:26" s="29" customFormat="1" outlineLevel="1" collapsed="1" x14ac:dyDescent="0.25">
      <c r="A218" s="27"/>
      <c r="B218" s="14" t="str">
        <f>CONCATENATE("     ","Services                                          ")</f>
        <v xml:space="preserve">     Services                                          </v>
      </c>
      <c r="C218" s="14"/>
      <c r="D218" s="1">
        <f>SUM(OSRRefD22_20x_0)</f>
        <v>22028.5</v>
      </c>
      <c r="E218" s="1"/>
      <c r="F218" s="5">
        <f t="shared" ref="F218:F223" si="98">IF(D$12=0,0,D218/D$12)</f>
        <v>5.5696898834295502E-2</v>
      </c>
      <c r="G218" s="1"/>
      <c r="H218" s="1">
        <f>SUM(OSRRefH22_20x_0)</f>
        <v>31776</v>
      </c>
      <c r="I218" s="1"/>
      <c r="J218" s="5">
        <f t="shared" ref="J218:J223" si="99">IF(H$12=0,0,H218/H$12)</f>
        <v>3.2656752618110435E-2</v>
      </c>
      <c r="K218" s="1"/>
      <c r="L218" s="1">
        <f t="shared" ref="L218:L223" si="100">+D218-H218</f>
        <v>-9747.5</v>
      </c>
      <c r="M218" s="1"/>
      <c r="N218" s="5">
        <f t="shared" ref="N218:N223" si="101">IF(H218=0,0,L218/H218)</f>
        <v>-0.3067566717019134</v>
      </c>
      <c r="O218" s="14"/>
      <c r="P218" s="1">
        <f>SUM(OSRRefP22_20x_0)</f>
        <v>94490.069999999992</v>
      </c>
      <c r="Q218" s="1"/>
      <c r="R218" s="5">
        <f t="shared" ref="R218:R223" si="102">IF(P$12=0,0,P218/P$12)</f>
        <v>2.0279518824485351E-2</v>
      </c>
      <c r="S218" s="1"/>
      <c r="T218" s="1">
        <f>SUM(OSRRefT22_20x_0)</f>
        <v>155827</v>
      </c>
      <c r="U218" s="1"/>
      <c r="V218" s="5">
        <f t="shared" ref="V218:V223" si="103">IF(T$12=0,0,T218/T$12)</f>
        <v>1.9973088427254673E-2</v>
      </c>
      <c r="W218" s="1"/>
      <c r="X218" s="1">
        <f t="shared" ref="X218:X223" si="104">+P218-T218</f>
        <v>-61336.930000000008</v>
      </c>
      <c r="Y218" s="1"/>
      <c r="Z218" s="5">
        <f t="shared" ref="Z218:Z223" si="105">IF(T218=0,0,X218/T218)</f>
        <v>-0.39362196538468947</v>
      </c>
    </row>
    <row r="219" spans="1:26" s="24" customFormat="1" hidden="1" outlineLevel="2" x14ac:dyDescent="0.25">
      <c r="A219" s="28"/>
      <c r="B219" s="11" t="str">
        <f>CONCATENATE("          ", "6282", " - ", "JANITORIAL/EXTERMINATOR EXPENS")</f>
        <v xml:space="preserve">          6282 - JANITORIAL/EXTERMINATOR EXPENS</v>
      </c>
      <c r="C219" s="11"/>
      <c r="D219" s="6">
        <v>438.2</v>
      </c>
      <c r="E219" s="2"/>
      <c r="F219" s="7">
        <f t="shared" si="98"/>
        <v>1.1079456644432571E-3</v>
      </c>
      <c r="G219" s="2"/>
      <c r="H219" s="6">
        <v>6705</v>
      </c>
      <c r="I219" s="2"/>
      <c r="J219" s="7">
        <f t="shared" si="99"/>
        <v>6.8908461198524196E-3</v>
      </c>
      <c r="K219" s="2"/>
      <c r="L219" s="6">
        <f t="shared" si="100"/>
        <v>-6266.8</v>
      </c>
      <c r="M219" s="2"/>
      <c r="N219" s="7">
        <f t="shared" si="101"/>
        <v>-0.9346457867263237</v>
      </c>
      <c r="O219" s="11"/>
      <c r="P219" s="6">
        <v>10852.32</v>
      </c>
      <c r="Q219" s="2"/>
      <c r="R219" s="7">
        <f t="shared" si="102"/>
        <v>2.3291318096106701E-3</v>
      </c>
      <c r="S219" s="2"/>
      <c r="T219" s="6">
        <v>33839</v>
      </c>
      <c r="U219" s="2"/>
      <c r="V219" s="7">
        <f t="shared" si="103"/>
        <v>4.3373057255152881E-3</v>
      </c>
      <c r="W219" s="2"/>
      <c r="X219" s="6">
        <f t="shared" si="104"/>
        <v>-22986.68</v>
      </c>
      <c r="Y219" s="2"/>
      <c r="Z219" s="7">
        <f t="shared" si="105"/>
        <v>-0.6792954874553031</v>
      </c>
    </row>
    <row r="220" spans="1:26" s="24" customFormat="1" hidden="1" outlineLevel="2" x14ac:dyDescent="0.25">
      <c r="A220" s="28"/>
      <c r="B220" s="11" t="str">
        <f>CONCATENATE("          ", "6283", " - ", "PLANT SERVICE")</f>
        <v xml:space="preserve">          6283 - PLANT SERVICE</v>
      </c>
      <c r="C220" s="11"/>
      <c r="D220" s="6">
        <v>41.31</v>
      </c>
      <c r="E220" s="2"/>
      <c r="F220" s="7">
        <f t="shared" si="98"/>
        <v>1.0444827795105192E-4</v>
      </c>
      <c r="G220" s="2"/>
      <c r="H220" s="6">
        <v>62</v>
      </c>
      <c r="I220" s="2"/>
      <c r="J220" s="7">
        <f t="shared" si="99"/>
        <v>6.3718487610865031E-5</v>
      </c>
      <c r="K220" s="2"/>
      <c r="L220" s="6">
        <f t="shared" si="100"/>
        <v>-20.689999999999998</v>
      </c>
      <c r="M220" s="2"/>
      <c r="N220" s="7">
        <f t="shared" si="101"/>
        <v>-0.33370967741935481</v>
      </c>
      <c r="O220" s="11"/>
      <c r="P220" s="6">
        <v>171.31</v>
      </c>
      <c r="Q220" s="2"/>
      <c r="R220" s="7">
        <f t="shared" si="102"/>
        <v>3.6766660981652211E-5</v>
      </c>
      <c r="S220" s="2"/>
      <c r="T220" s="6">
        <v>248</v>
      </c>
      <c r="U220" s="2"/>
      <c r="V220" s="7">
        <f t="shared" si="103"/>
        <v>3.1787340640320088E-5</v>
      </c>
      <c r="W220" s="2"/>
      <c r="X220" s="6">
        <f t="shared" si="104"/>
        <v>-76.69</v>
      </c>
      <c r="Y220" s="2"/>
      <c r="Z220" s="7">
        <f t="shared" si="105"/>
        <v>-0.30923387096774191</v>
      </c>
    </row>
    <row r="221" spans="1:26" s="24" customFormat="1" hidden="1" outlineLevel="2" x14ac:dyDescent="0.25">
      <c r="A221" s="28"/>
      <c r="B221" s="11" t="str">
        <f>CONCATENATE("          ", "6284", " - ", "TRASH REMOVAL EXPENSE")</f>
        <v xml:space="preserve">          6284 - TRASH REMOVAL EXPENSE</v>
      </c>
      <c r="C221" s="11"/>
      <c r="D221" s="6">
        <v>5658</v>
      </c>
      <c r="E221" s="2"/>
      <c r="F221" s="7">
        <f t="shared" si="98"/>
        <v>1.4305697328662593E-2</v>
      </c>
      <c r="G221" s="2"/>
      <c r="H221" s="6">
        <v>3915</v>
      </c>
      <c r="I221" s="2"/>
      <c r="J221" s="7">
        <f t="shared" si="99"/>
        <v>4.0235141773634934E-3</v>
      </c>
      <c r="K221" s="2"/>
      <c r="L221" s="6">
        <f t="shared" si="100"/>
        <v>1743</v>
      </c>
      <c r="M221" s="2"/>
      <c r="N221" s="7">
        <f t="shared" si="101"/>
        <v>0.44521072796934869</v>
      </c>
      <c r="O221" s="11"/>
      <c r="P221" s="6">
        <v>14373.3</v>
      </c>
      <c r="Q221" s="2"/>
      <c r="R221" s="7">
        <f t="shared" si="102"/>
        <v>3.0848067730289046E-3</v>
      </c>
      <c r="S221" s="2"/>
      <c r="T221" s="6">
        <v>16570</v>
      </c>
      <c r="U221" s="2"/>
      <c r="V221" s="7">
        <f t="shared" si="103"/>
        <v>2.123855783911709E-3</v>
      </c>
      <c r="W221" s="2"/>
      <c r="X221" s="6">
        <f t="shared" si="104"/>
        <v>-2196.7000000000007</v>
      </c>
      <c r="Y221" s="2"/>
      <c r="Z221" s="7">
        <f t="shared" si="105"/>
        <v>-0.1325709112854557</v>
      </c>
    </row>
    <row r="222" spans="1:26" s="24" customFormat="1" hidden="1" outlineLevel="2" x14ac:dyDescent="0.25">
      <c r="A222" s="28"/>
      <c r="B222" s="11" t="str">
        <f>CONCATENATE("          ", "6285", " - ", "JANITORIAL SERVICES")</f>
        <v xml:space="preserve">          6285 - JANITORIAL SERVICES</v>
      </c>
      <c r="C222" s="11"/>
      <c r="D222" s="6">
        <v>15121.310000000001</v>
      </c>
      <c r="E222" s="2"/>
      <c r="F222" s="7">
        <f t="shared" si="98"/>
        <v>3.8232747273396782E-2</v>
      </c>
      <c r="G222" s="2"/>
      <c r="H222" s="6">
        <v>16490</v>
      </c>
      <c r="I222" s="2"/>
      <c r="J222" s="7">
        <f t="shared" si="99"/>
        <v>1.6947062269405875E-2</v>
      </c>
      <c r="K222" s="2"/>
      <c r="L222" s="6">
        <f t="shared" si="100"/>
        <v>-1368.6899999999987</v>
      </c>
      <c r="M222" s="2"/>
      <c r="N222" s="7">
        <f t="shared" si="101"/>
        <v>-8.3001212856276457E-2</v>
      </c>
      <c r="O222" s="11"/>
      <c r="P222" s="6">
        <v>60330.59</v>
      </c>
      <c r="Q222" s="2"/>
      <c r="R222" s="7">
        <f t="shared" si="102"/>
        <v>1.2948189535654993E-2</v>
      </c>
      <c r="S222" s="2"/>
      <c r="T222" s="6">
        <v>82189</v>
      </c>
      <c r="U222" s="2"/>
      <c r="V222" s="7">
        <f t="shared" si="103"/>
        <v>1.0534555402771241E-2</v>
      </c>
      <c r="W222" s="2"/>
      <c r="X222" s="6">
        <f t="shared" si="104"/>
        <v>-21858.410000000003</v>
      </c>
      <c r="Y222" s="2"/>
      <c r="Z222" s="7">
        <f t="shared" si="105"/>
        <v>-0.26595298640937354</v>
      </c>
    </row>
    <row r="223" spans="1:26" s="24" customFormat="1" hidden="1" outlineLevel="2" x14ac:dyDescent="0.25">
      <c r="A223" s="28"/>
      <c r="B223" s="11" t="str">
        <f>CONCATENATE("          ", "6286", " - ", "LAUNDRY EXPENSE")</f>
        <v xml:space="preserve">          6286 - LAUNDRY EXPENSE</v>
      </c>
      <c r="C223" s="11"/>
      <c r="D223" s="6">
        <v>769.68</v>
      </c>
      <c r="E223" s="2"/>
      <c r="F223" s="7">
        <f t="shared" si="98"/>
        <v>1.9460602898418212E-3</v>
      </c>
      <c r="G223" s="2"/>
      <c r="H223" s="6">
        <v>4604</v>
      </c>
      <c r="I223" s="2"/>
      <c r="J223" s="7">
        <f t="shared" si="99"/>
        <v>4.731611563877784E-3</v>
      </c>
      <c r="K223" s="2"/>
      <c r="L223" s="6">
        <f t="shared" si="100"/>
        <v>-3834.32</v>
      </c>
      <c r="M223" s="2"/>
      <c r="N223" s="7">
        <f t="shared" si="101"/>
        <v>-0.83282363162467421</v>
      </c>
      <c r="O223" s="11"/>
      <c r="P223" s="6">
        <v>8762.5499999999993</v>
      </c>
      <c r="Q223" s="2"/>
      <c r="R223" s="7">
        <f t="shared" si="102"/>
        <v>1.8806240452091327E-3</v>
      </c>
      <c r="S223" s="2"/>
      <c r="T223" s="6">
        <v>22981</v>
      </c>
      <c r="U223" s="2"/>
      <c r="V223" s="7">
        <f t="shared" si="103"/>
        <v>2.9455841744161129E-3</v>
      </c>
      <c r="W223" s="2"/>
      <c r="X223" s="6">
        <f t="shared" si="104"/>
        <v>-14218.45</v>
      </c>
      <c r="Y223" s="2"/>
      <c r="Z223" s="7">
        <f t="shared" si="105"/>
        <v>-0.61870458204603807</v>
      </c>
    </row>
    <row r="224" spans="1:26" s="29" customFormat="1" outlineLevel="1" collapsed="1" x14ac:dyDescent="0.25">
      <c r="A224" s="27"/>
      <c r="B224" s="14" t="str">
        <f>CONCATENATE("     ","Subscriptions &amp; Dues                              ")</f>
        <v xml:space="preserve">     Subscriptions &amp; Dues                              </v>
      </c>
      <c r="C224" s="14"/>
      <c r="D224" s="1">
        <f>SUM(OSRRefD22_21x_0)</f>
        <v>520.91999999999996</v>
      </c>
      <c r="E224" s="1"/>
      <c r="F224" s="5">
        <f t="shared" ref="F224:F226" si="106">IF(D$12=0,0,D224/D$12)</f>
        <v>1.3170950605243756E-3</v>
      </c>
      <c r="G224" s="1"/>
      <c r="H224" s="1">
        <f>SUM(OSRRefH22_21x_0)</f>
        <v>1473</v>
      </c>
      <c r="I224" s="1"/>
      <c r="J224" s="5">
        <f t="shared" ref="J224:J226" si="107">IF(H$12=0,0,H224/H$12)</f>
        <v>1.5138279395290998E-3</v>
      </c>
      <c r="K224" s="1"/>
      <c r="L224" s="1">
        <f t="shared" ref="L224:L226" si="108">+D224-H224</f>
        <v>-952.08</v>
      </c>
      <c r="M224" s="1"/>
      <c r="N224" s="5">
        <f t="shared" ref="N224:N226" si="109">IF(H224=0,0,L224/H224)</f>
        <v>-0.64635437881873725</v>
      </c>
      <c r="O224" s="14"/>
      <c r="P224" s="1">
        <f>SUM(OSRRefP22_21x_0)</f>
        <v>2441.34</v>
      </c>
      <c r="Q224" s="1"/>
      <c r="R224" s="5">
        <f t="shared" ref="R224:R226" si="110">IF(P$12=0,0,P224/P$12)</f>
        <v>5.2396194104808134E-4</v>
      </c>
      <c r="S224" s="1"/>
      <c r="T224" s="1">
        <f>SUM(OSRRefT22_21x_0)</f>
        <v>8760</v>
      </c>
      <c r="U224" s="1"/>
      <c r="V224" s="5">
        <f t="shared" ref="V224:V226" si="111">IF(T$12=0,0,T224/T$12)</f>
        <v>1.1228109032629192E-3</v>
      </c>
      <c r="W224" s="1"/>
      <c r="X224" s="1">
        <f t="shared" ref="X224:X226" si="112">+P224-T224</f>
        <v>-6318.66</v>
      </c>
      <c r="Y224" s="1"/>
      <c r="Z224" s="5">
        <f t="shared" ref="Z224:Z226" si="113">IF(T224=0,0,X224/T224)</f>
        <v>-0.72130821917808219</v>
      </c>
    </row>
    <row r="225" spans="1:26" s="24" customFormat="1" hidden="1" outlineLevel="2" x14ac:dyDescent="0.25">
      <c r="A225" s="28"/>
      <c r="B225" s="11" t="str">
        <f>CONCATENATE("          ", "6258", " - ", "MEMBERSHIP DUES")</f>
        <v xml:space="preserve">          6258 - MEMBERSHIP DUES</v>
      </c>
      <c r="C225" s="11"/>
      <c r="D225" s="6">
        <v>520.91999999999996</v>
      </c>
      <c r="E225" s="2"/>
      <c r="F225" s="7">
        <f t="shared" si="106"/>
        <v>1.3170950605243756E-3</v>
      </c>
      <c r="G225" s="2"/>
      <c r="H225" s="6">
        <v>1100</v>
      </c>
      <c r="I225" s="2"/>
      <c r="J225" s="7">
        <f t="shared" si="107"/>
        <v>1.1304892963217988E-3</v>
      </c>
      <c r="K225" s="2"/>
      <c r="L225" s="6">
        <f t="shared" si="108"/>
        <v>-579.08000000000004</v>
      </c>
      <c r="M225" s="2"/>
      <c r="N225" s="7">
        <f t="shared" si="109"/>
        <v>-0.5264363636363637</v>
      </c>
      <c r="O225" s="11"/>
      <c r="P225" s="6">
        <v>1944.28</v>
      </c>
      <c r="Q225" s="2"/>
      <c r="R225" s="7">
        <f t="shared" si="110"/>
        <v>4.1728260821555517E-4</v>
      </c>
      <c r="S225" s="2"/>
      <c r="T225" s="6">
        <v>6895</v>
      </c>
      <c r="U225" s="2"/>
      <c r="V225" s="7">
        <f t="shared" si="111"/>
        <v>8.8376497465728629E-4</v>
      </c>
      <c r="W225" s="2"/>
      <c r="X225" s="6">
        <f t="shared" si="112"/>
        <v>-4950.72</v>
      </c>
      <c r="Y225" s="2"/>
      <c r="Z225" s="7">
        <f t="shared" si="113"/>
        <v>-0.71801595358955772</v>
      </c>
    </row>
    <row r="226" spans="1:26" s="24" customFormat="1" hidden="1" outlineLevel="2" x14ac:dyDescent="0.25">
      <c r="A226" s="28"/>
      <c r="B226" s="11" t="str">
        <f>CONCATENATE("          ", "6275", " - ", "SUBSCRIPTIONS")</f>
        <v xml:space="preserve">          6275 - SUBSCRIPTIONS</v>
      </c>
      <c r="C226" s="11"/>
      <c r="D226" s="6"/>
      <c r="E226" s="2"/>
      <c r="F226" s="7">
        <f t="shared" si="106"/>
        <v>0</v>
      </c>
      <c r="G226" s="2"/>
      <c r="H226" s="6">
        <v>373</v>
      </c>
      <c r="I226" s="2"/>
      <c r="J226" s="7">
        <f t="shared" si="107"/>
        <v>3.8333864320730089E-4</v>
      </c>
      <c r="K226" s="2"/>
      <c r="L226" s="6">
        <f t="shared" si="108"/>
        <v>-373</v>
      </c>
      <c r="M226" s="2"/>
      <c r="N226" s="7">
        <f t="shared" si="109"/>
        <v>-1</v>
      </c>
      <c r="O226" s="11"/>
      <c r="P226" s="6">
        <v>497.06</v>
      </c>
      <c r="Q226" s="2"/>
      <c r="R226" s="7">
        <f t="shared" si="110"/>
        <v>1.0667933283252611E-4</v>
      </c>
      <c r="S226" s="2"/>
      <c r="T226" s="6">
        <v>1865</v>
      </c>
      <c r="U226" s="2"/>
      <c r="V226" s="7">
        <f t="shared" si="111"/>
        <v>2.3904592860563291E-4</v>
      </c>
      <c r="W226" s="2"/>
      <c r="X226" s="6">
        <f t="shared" si="112"/>
        <v>-1367.94</v>
      </c>
      <c r="Y226" s="2"/>
      <c r="Z226" s="7">
        <f t="shared" si="113"/>
        <v>-0.73347989276139414</v>
      </c>
    </row>
    <row r="227" spans="1:26" s="29" customFormat="1" outlineLevel="1" collapsed="1" x14ac:dyDescent="0.25">
      <c r="A227" s="27"/>
      <c r="B227" s="14" t="str">
        <f>CONCATENATE("     ","Supplies                                          ")</f>
        <v xml:space="preserve">     Supplies                                          </v>
      </c>
      <c r="C227" s="14"/>
      <c r="D227" s="1">
        <f>SUM(OSRRefD22_22x_0)</f>
        <v>36435.480000000003</v>
      </c>
      <c r="E227" s="1"/>
      <c r="F227" s="5">
        <f t="shared" ref="F227:F238" si="114">IF(D$12=0,0,D227/D$12)</f>
        <v>9.2123532856935211E-2</v>
      </c>
      <c r="G227" s="1"/>
      <c r="H227" s="1">
        <f>SUM(OSRRefH22_22x_0)</f>
        <v>42953</v>
      </c>
      <c r="I227" s="1"/>
      <c r="J227" s="5">
        <f t="shared" ref="J227:J238" si="115">IF(H$12=0,0,H227/H$12)</f>
        <v>4.4143551586282026E-2</v>
      </c>
      <c r="K227" s="1"/>
      <c r="L227" s="1">
        <f t="shared" ref="L227:L238" si="116">+D227-H227</f>
        <v>-6517.5199999999968</v>
      </c>
      <c r="M227" s="1"/>
      <c r="N227" s="5">
        <f t="shared" ref="N227:N238" si="117">IF(H227=0,0,L227/H227)</f>
        <v>-0.15173608362628913</v>
      </c>
      <c r="O227" s="14"/>
      <c r="P227" s="1">
        <f>SUM(OSRRefP22_22x_0)</f>
        <v>169894.93999999997</v>
      </c>
      <c r="Q227" s="1"/>
      <c r="R227" s="5">
        <f t="shared" ref="R227:R238" si="118">IF(P$12=0,0,P227/P$12)</f>
        <v>3.6462959905890734E-2</v>
      </c>
      <c r="S227" s="1"/>
      <c r="T227" s="1">
        <f>SUM(OSRRefT22_22x_0)</f>
        <v>281466</v>
      </c>
      <c r="U227" s="1"/>
      <c r="V227" s="5">
        <f t="shared" ref="V227:V238" si="119">IF(T$12=0,0,T227/T$12)</f>
        <v>3.607683718011425E-2</v>
      </c>
      <c r="W227" s="1"/>
      <c r="X227" s="1">
        <f t="shared" ref="X227:X238" si="120">+P227-T227</f>
        <v>-111571.06000000003</v>
      </c>
      <c r="Y227" s="1"/>
      <c r="Z227" s="5">
        <f t="shared" ref="Z227:Z238" si="121">IF(T227=0,0,X227/T227)</f>
        <v>-0.39639267264962741</v>
      </c>
    </row>
    <row r="228" spans="1:26" s="24" customFormat="1" hidden="1" outlineLevel="2" x14ac:dyDescent="0.25">
      <c r="A228" s="28"/>
      <c r="B228" s="11" t="str">
        <f>CONCATENATE("          ", "6234", " - ", "EXPENDABLE SUPPLIES &amp; EQUIPMEN")</f>
        <v xml:space="preserve">          6234 - EXPENDABLE SUPPLIES &amp; EQUIPMEN</v>
      </c>
      <c r="C228" s="11"/>
      <c r="D228" s="6">
        <v>-550.67999999999995</v>
      </c>
      <c r="E228" s="2"/>
      <c r="F228" s="7">
        <f t="shared" si="114"/>
        <v>-1.3923402977992075E-3</v>
      </c>
      <c r="G228" s="2"/>
      <c r="H228" s="6">
        <v>7346</v>
      </c>
      <c r="I228" s="2"/>
      <c r="J228" s="7">
        <f t="shared" si="115"/>
        <v>7.5496130643453955E-3</v>
      </c>
      <c r="K228" s="2"/>
      <c r="L228" s="6">
        <f t="shared" si="116"/>
        <v>-7896.68</v>
      </c>
      <c r="M228" s="2"/>
      <c r="N228" s="7">
        <f t="shared" si="117"/>
        <v>-1.0749632453035667</v>
      </c>
      <c r="O228" s="11"/>
      <c r="P228" s="6">
        <v>178.24</v>
      </c>
      <c r="Q228" s="2"/>
      <c r="R228" s="7">
        <f t="shared" si="118"/>
        <v>3.8253981982194209E-5</v>
      </c>
      <c r="S228" s="2"/>
      <c r="T228" s="6">
        <v>36346</v>
      </c>
      <c r="U228" s="2"/>
      <c r="V228" s="7">
        <f t="shared" si="119"/>
        <v>4.6586398504559435E-3</v>
      </c>
      <c r="W228" s="2"/>
      <c r="X228" s="6">
        <f t="shared" si="120"/>
        <v>-36167.760000000002</v>
      </c>
      <c r="Y228" s="2"/>
      <c r="Z228" s="7">
        <f t="shared" si="121"/>
        <v>-0.99509602157046173</v>
      </c>
    </row>
    <row r="229" spans="1:26" s="24" customFormat="1" hidden="1" outlineLevel="2" x14ac:dyDescent="0.25">
      <c r="A229" s="28"/>
      <c r="B229" s="11" t="str">
        <f>CONCATENATE("          ", "6235", " - ", "COVID-19 EXPENSES")</f>
        <v xml:space="preserve">          6235 - COVID-19 EXPENSES</v>
      </c>
      <c r="C229" s="11"/>
      <c r="D229" s="6">
        <v>14482.36</v>
      </c>
      <c r="E229" s="2"/>
      <c r="F229" s="7">
        <f t="shared" si="114"/>
        <v>3.6617224949581126E-2</v>
      </c>
      <c r="G229" s="2"/>
      <c r="H229" s="6">
        <v>13100</v>
      </c>
      <c r="I229" s="2"/>
      <c r="J229" s="7">
        <f t="shared" si="115"/>
        <v>1.3463099801650514E-2</v>
      </c>
      <c r="K229" s="2"/>
      <c r="L229" s="6">
        <f t="shared" si="116"/>
        <v>1382.3600000000006</v>
      </c>
      <c r="M229" s="2"/>
      <c r="N229" s="7">
        <f t="shared" si="117"/>
        <v>0.10552366412213744</v>
      </c>
      <c r="O229" s="11"/>
      <c r="P229" s="6">
        <v>79226.05</v>
      </c>
      <c r="Q229" s="2"/>
      <c r="R229" s="7">
        <f t="shared" si="118"/>
        <v>1.7003545159450278E-2</v>
      </c>
      <c r="S229" s="2"/>
      <c r="T229" s="6">
        <v>118600</v>
      </c>
      <c r="U229" s="2"/>
      <c r="V229" s="7">
        <f t="shared" si="119"/>
        <v>1.5201526612669203E-2</v>
      </c>
      <c r="W229" s="2"/>
      <c r="X229" s="6">
        <f t="shared" si="120"/>
        <v>-39373.949999999997</v>
      </c>
      <c r="Y229" s="2"/>
      <c r="Z229" s="7">
        <f t="shared" si="121"/>
        <v>-0.33198946037099492</v>
      </c>
    </row>
    <row r="230" spans="1:26" s="24" customFormat="1" hidden="1" outlineLevel="2" x14ac:dyDescent="0.25">
      <c r="A230" s="28"/>
      <c r="B230" s="11" t="str">
        <f>CONCATENATE("          ", "6237", " - ", "JANITORIAL SUPPLIES")</f>
        <v xml:space="preserve">          6237 - JANITORIAL SUPPLIES</v>
      </c>
      <c r="C230" s="11"/>
      <c r="D230" s="6">
        <v>709.09</v>
      </c>
      <c r="E230" s="2"/>
      <c r="F230" s="7">
        <f t="shared" si="114"/>
        <v>1.7928644253766982E-3</v>
      </c>
      <c r="G230" s="2"/>
      <c r="H230" s="6">
        <v>10166</v>
      </c>
      <c r="I230" s="2"/>
      <c r="J230" s="7">
        <f t="shared" si="115"/>
        <v>1.0447776533097643E-2</v>
      </c>
      <c r="K230" s="2"/>
      <c r="L230" s="6">
        <f t="shared" si="116"/>
        <v>-9456.91</v>
      </c>
      <c r="M230" s="2"/>
      <c r="N230" s="7">
        <f t="shared" si="117"/>
        <v>-0.9302488687782805</v>
      </c>
      <c r="O230" s="11"/>
      <c r="P230" s="6">
        <v>10435.23</v>
      </c>
      <c r="Q230" s="2"/>
      <c r="R230" s="7">
        <f t="shared" si="118"/>
        <v>2.2396156889590017E-3</v>
      </c>
      <c r="S230" s="2"/>
      <c r="T230" s="6">
        <v>46302</v>
      </c>
      <c r="U230" s="2"/>
      <c r="V230" s="7">
        <f t="shared" si="119"/>
        <v>5.9347477674520192E-3</v>
      </c>
      <c r="W230" s="2"/>
      <c r="X230" s="6">
        <f t="shared" si="120"/>
        <v>-35866.770000000004</v>
      </c>
      <c r="Y230" s="2"/>
      <c r="Z230" s="7">
        <f t="shared" si="121"/>
        <v>-0.7746267979784891</v>
      </c>
    </row>
    <row r="231" spans="1:26" s="24" customFormat="1" hidden="1" outlineLevel="2" x14ac:dyDescent="0.25">
      <c r="A231" s="28"/>
      <c r="B231" s="11" t="str">
        <f>CONCATENATE("          ", "6239", " - ", "KITCHEN SUPPLIES")</f>
        <v xml:space="preserve">          6239 - KITCHEN SUPPLIES</v>
      </c>
      <c r="C231" s="11"/>
      <c r="D231" s="6">
        <v>1494.83</v>
      </c>
      <c r="E231" s="2"/>
      <c r="F231" s="7">
        <f t="shared" si="114"/>
        <v>3.7795308479683107E-3</v>
      </c>
      <c r="G231" s="2"/>
      <c r="H231" s="6">
        <v>2340</v>
      </c>
      <c r="I231" s="2"/>
      <c r="J231" s="7">
        <f t="shared" si="115"/>
        <v>2.4048590485390995E-3</v>
      </c>
      <c r="K231" s="2"/>
      <c r="L231" s="6">
        <f t="shared" si="116"/>
        <v>-845.17000000000007</v>
      </c>
      <c r="M231" s="2"/>
      <c r="N231" s="7">
        <f t="shared" si="117"/>
        <v>-0.36118376068376074</v>
      </c>
      <c r="O231" s="11"/>
      <c r="P231" s="6">
        <v>5686.34</v>
      </c>
      <c r="Q231" s="2"/>
      <c r="R231" s="7">
        <f t="shared" si="118"/>
        <v>1.2204059016193347E-3</v>
      </c>
      <c r="S231" s="2"/>
      <c r="T231" s="6">
        <v>10932</v>
      </c>
      <c r="U231" s="2"/>
      <c r="V231" s="7">
        <f t="shared" si="119"/>
        <v>1.4012064833870128E-3</v>
      </c>
      <c r="W231" s="2"/>
      <c r="X231" s="6">
        <f t="shared" si="120"/>
        <v>-5245.66</v>
      </c>
      <c r="Y231" s="2"/>
      <c r="Z231" s="7">
        <f t="shared" si="121"/>
        <v>-0.4798444932308818</v>
      </c>
    </row>
    <row r="232" spans="1:26" s="24" customFormat="1" hidden="1" outlineLevel="2" x14ac:dyDescent="0.25">
      <c r="A232" s="28"/>
      <c r="B232" s="11" t="str">
        <f>CONCATENATE("          ", "6241", " - ", "OFFICE EXPENSE")</f>
        <v xml:space="preserve">          6241 - OFFICE EXPENSE</v>
      </c>
      <c r="C232" s="11"/>
      <c r="D232" s="6">
        <v>2052.44</v>
      </c>
      <c r="E232" s="2"/>
      <c r="F232" s="7">
        <f t="shared" si="114"/>
        <v>5.1893929701732509E-3</v>
      </c>
      <c r="G232" s="2"/>
      <c r="H232" s="6">
        <v>1560</v>
      </c>
      <c r="I232" s="2"/>
      <c r="J232" s="7">
        <f t="shared" si="115"/>
        <v>1.603239365692733E-3</v>
      </c>
      <c r="K232" s="2"/>
      <c r="L232" s="6">
        <f t="shared" si="116"/>
        <v>492.44000000000005</v>
      </c>
      <c r="M232" s="2"/>
      <c r="N232" s="7">
        <f t="shared" si="117"/>
        <v>0.31566666666666671</v>
      </c>
      <c r="O232" s="11"/>
      <c r="P232" s="6">
        <v>24353.1</v>
      </c>
      <c r="Q232" s="2"/>
      <c r="R232" s="7">
        <f t="shared" si="118"/>
        <v>5.2266777861903818E-3</v>
      </c>
      <c r="S232" s="2"/>
      <c r="T232" s="6">
        <v>13112</v>
      </c>
      <c r="U232" s="2"/>
      <c r="V232" s="7">
        <f t="shared" si="119"/>
        <v>1.6806274615962782E-3</v>
      </c>
      <c r="W232" s="2"/>
      <c r="X232" s="6">
        <f t="shared" si="120"/>
        <v>11241.099999999999</v>
      </c>
      <c r="Y232" s="2"/>
      <c r="Z232" s="7">
        <f t="shared" si="121"/>
        <v>0.85731391092129339</v>
      </c>
    </row>
    <row r="233" spans="1:26" s="24" customFormat="1" hidden="1" outlineLevel="2" x14ac:dyDescent="0.25">
      <c r="A233" s="28"/>
      <c r="B233" s="11" t="str">
        <f>CONCATENATE("          ", "6243", " - ", "PAPER SUPPLIES")</f>
        <v xml:space="preserve">          6243 - PAPER SUPPLIES</v>
      </c>
      <c r="C233" s="11"/>
      <c r="D233" s="6">
        <v>6795.48</v>
      </c>
      <c r="E233" s="2"/>
      <c r="F233" s="7">
        <f t="shared" si="114"/>
        <v>1.7181703796921185E-2</v>
      </c>
      <c r="G233" s="2"/>
      <c r="H233" s="6">
        <v>2030</v>
      </c>
      <c r="I233" s="2"/>
      <c r="J233" s="7">
        <f t="shared" si="115"/>
        <v>2.0862666104847745E-3</v>
      </c>
      <c r="K233" s="2"/>
      <c r="L233" s="6">
        <f t="shared" si="116"/>
        <v>4765.4799999999996</v>
      </c>
      <c r="M233" s="2"/>
      <c r="N233" s="7">
        <f t="shared" si="117"/>
        <v>2.3475270935960588</v>
      </c>
      <c r="O233" s="11"/>
      <c r="P233" s="6">
        <v>16661.990000000002</v>
      </c>
      <c r="Q233" s="2"/>
      <c r="R233" s="7">
        <f t="shared" si="118"/>
        <v>3.5760068741444127E-3</v>
      </c>
      <c r="S233" s="2"/>
      <c r="T233" s="6">
        <v>11418</v>
      </c>
      <c r="U233" s="2"/>
      <c r="V233" s="7">
        <f t="shared" si="119"/>
        <v>1.4634994170611886E-3</v>
      </c>
      <c r="W233" s="2"/>
      <c r="X233" s="6">
        <f t="shared" si="120"/>
        <v>5243.9900000000016</v>
      </c>
      <c r="Y233" s="2"/>
      <c r="Z233" s="7">
        <f t="shared" si="121"/>
        <v>0.45927395340690153</v>
      </c>
    </row>
    <row r="234" spans="1:26" s="24" customFormat="1" hidden="1" outlineLevel="2" x14ac:dyDescent="0.25">
      <c r="A234" s="28"/>
      <c r="B234" s="11" t="str">
        <f>CONCATENATE("          ", "6244", " - ", "SAFETY SUPPLY EXPENSE")</f>
        <v xml:space="preserve">          6244 - SAFETY SUPPLY EXPENSE</v>
      </c>
      <c r="C234" s="11"/>
      <c r="D234" s="6"/>
      <c r="E234" s="2"/>
      <c r="F234" s="7">
        <f t="shared" si="114"/>
        <v>0</v>
      </c>
      <c r="G234" s="2"/>
      <c r="H234" s="6">
        <v>100</v>
      </c>
      <c r="I234" s="2"/>
      <c r="J234" s="7">
        <f t="shared" si="115"/>
        <v>1.0277175421107263E-4</v>
      </c>
      <c r="K234" s="2"/>
      <c r="L234" s="6">
        <f t="shared" si="116"/>
        <v>-100</v>
      </c>
      <c r="M234" s="2"/>
      <c r="N234" s="7">
        <f t="shared" si="117"/>
        <v>-1</v>
      </c>
      <c r="O234" s="11"/>
      <c r="P234" s="6"/>
      <c r="Q234" s="2"/>
      <c r="R234" s="7">
        <f t="shared" si="118"/>
        <v>0</v>
      </c>
      <c r="S234" s="2"/>
      <c r="T234" s="6">
        <v>730</v>
      </c>
      <c r="U234" s="2"/>
      <c r="V234" s="7">
        <f t="shared" si="119"/>
        <v>9.3567575271909936E-5</v>
      </c>
      <c r="W234" s="2"/>
      <c r="X234" s="6">
        <f t="shared" si="120"/>
        <v>-730</v>
      </c>
      <c r="Y234" s="2"/>
      <c r="Z234" s="7">
        <f t="shared" si="121"/>
        <v>-1</v>
      </c>
    </row>
    <row r="235" spans="1:26" s="24" customFormat="1" hidden="1" outlineLevel="2" x14ac:dyDescent="0.25">
      <c r="A235" s="28"/>
      <c r="B235" s="11" t="str">
        <f>CONCATENATE("          ", "6245", " - ", "PRINTING")</f>
        <v xml:space="preserve">          6245 - PRINTING</v>
      </c>
      <c r="C235" s="11"/>
      <c r="D235" s="6">
        <v>93.72</v>
      </c>
      <c r="E235" s="2"/>
      <c r="F235" s="7">
        <f t="shared" si="114"/>
        <v>2.3696181577275685E-4</v>
      </c>
      <c r="G235" s="2"/>
      <c r="H235" s="6">
        <v>500</v>
      </c>
      <c r="I235" s="2"/>
      <c r="J235" s="7">
        <f t="shared" si="115"/>
        <v>5.1385877105536318E-4</v>
      </c>
      <c r="K235" s="2"/>
      <c r="L235" s="6">
        <f t="shared" si="116"/>
        <v>-406.28</v>
      </c>
      <c r="M235" s="2"/>
      <c r="N235" s="7">
        <f t="shared" si="117"/>
        <v>-0.81255999999999995</v>
      </c>
      <c r="O235" s="11"/>
      <c r="P235" s="6">
        <v>508.27</v>
      </c>
      <c r="Q235" s="2"/>
      <c r="R235" s="7">
        <f t="shared" si="118"/>
        <v>1.0908523015086316E-4</v>
      </c>
      <c r="S235" s="2"/>
      <c r="T235" s="6">
        <v>3900</v>
      </c>
      <c r="U235" s="2"/>
      <c r="V235" s="7">
        <f t="shared" si="119"/>
        <v>4.9988156652116264E-4</v>
      </c>
      <c r="W235" s="2"/>
      <c r="X235" s="6">
        <f t="shared" si="120"/>
        <v>-3391.73</v>
      </c>
      <c r="Y235" s="2"/>
      <c r="Z235" s="7">
        <f t="shared" si="121"/>
        <v>-0.86967435897435896</v>
      </c>
    </row>
    <row r="236" spans="1:26" s="24" customFormat="1" hidden="1" outlineLevel="2" x14ac:dyDescent="0.25">
      <c r="A236" s="28"/>
      <c r="B236" s="11" t="str">
        <f>CONCATENATE("          ", "6246", " - ", "REPLACEMENTS")</f>
        <v xml:space="preserve">          6246 - REPLACEMENTS</v>
      </c>
      <c r="C236" s="11"/>
      <c r="D236" s="6"/>
      <c r="E236" s="2"/>
      <c r="F236" s="7">
        <f t="shared" si="114"/>
        <v>0</v>
      </c>
      <c r="G236" s="2"/>
      <c r="H236" s="6">
        <v>0</v>
      </c>
      <c r="I236" s="2"/>
      <c r="J236" s="7">
        <f t="shared" si="115"/>
        <v>0</v>
      </c>
      <c r="K236" s="2"/>
      <c r="L236" s="6">
        <f t="shared" si="116"/>
        <v>0</v>
      </c>
      <c r="M236" s="2"/>
      <c r="N236" s="7">
        <f t="shared" si="117"/>
        <v>0</v>
      </c>
      <c r="O236" s="11"/>
      <c r="P236" s="6"/>
      <c r="Q236" s="2"/>
      <c r="R236" s="7">
        <f t="shared" si="118"/>
        <v>0</v>
      </c>
      <c r="S236" s="2"/>
      <c r="T236" s="6">
        <v>0</v>
      </c>
      <c r="U236" s="2"/>
      <c r="V236" s="7">
        <f t="shared" si="119"/>
        <v>0</v>
      </c>
      <c r="W236" s="2"/>
      <c r="X236" s="6">
        <f t="shared" si="120"/>
        <v>0</v>
      </c>
      <c r="Y236" s="2"/>
      <c r="Z236" s="7">
        <f t="shared" si="121"/>
        <v>0</v>
      </c>
    </row>
    <row r="237" spans="1:26" s="24" customFormat="1" hidden="1" outlineLevel="2" x14ac:dyDescent="0.25">
      <c r="A237" s="28"/>
      <c r="B237" s="11" t="str">
        <f>CONCATENATE("          ", "6247", " - ", "STORE SUPPLIES")</f>
        <v xml:space="preserve">          6247 - STORE SUPPLIES</v>
      </c>
      <c r="C237" s="11"/>
      <c r="D237" s="6">
        <v>10672.33</v>
      </c>
      <c r="E237" s="2"/>
      <c r="F237" s="7">
        <f t="shared" si="114"/>
        <v>2.698393827706003E-2</v>
      </c>
      <c r="G237" s="2"/>
      <c r="H237" s="6">
        <v>3811</v>
      </c>
      <c r="I237" s="2"/>
      <c r="J237" s="7">
        <f t="shared" si="115"/>
        <v>3.9166315529839775E-3</v>
      </c>
      <c r="K237" s="2"/>
      <c r="L237" s="6">
        <f t="shared" si="116"/>
        <v>6861.33</v>
      </c>
      <c r="M237" s="2"/>
      <c r="N237" s="7">
        <f t="shared" si="117"/>
        <v>1.8004014694305956</v>
      </c>
      <c r="O237" s="11"/>
      <c r="P237" s="6">
        <v>28345.129999999997</v>
      </c>
      <c r="Q237" s="2"/>
      <c r="R237" s="7">
        <f t="shared" si="118"/>
        <v>6.0834497997248223E-3</v>
      </c>
      <c r="S237" s="2"/>
      <c r="T237" s="6">
        <v>25576</v>
      </c>
      <c r="U237" s="2"/>
      <c r="V237" s="7">
        <f t="shared" si="119"/>
        <v>3.2781976782936557E-3</v>
      </c>
      <c r="W237" s="2"/>
      <c r="X237" s="6">
        <f t="shared" si="120"/>
        <v>2769.1299999999974</v>
      </c>
      <c r="Y237" s="2"/>
      <c r="Z237" s="7">
        <f t="shared" si="121"/>
        <v>0.10827064435408185</v>
      </c>
    </row>
    <row r="238" spans="1:26" s="24" customFormat="1" hidden="1" outlineLevel="2" x14ac:dyDescent="0.25">
      <c r="A238" s="28"/>
      <c r="B238" s="11" t="str">
        <f>CONCATENATE("          ", "6248", " - ", "UNIFORMS")</f>
        <v xml:space="preserve">          6248 - UNIFORMS</v>
      </c>
      <c r="C238" s="11"/>
      <c r="D238" s="6">
        <v>685.91</v>
      </c>
      <c r="E238" s="2"/>
      <c r="F238" s="7">
        <f t="shared" si="114"/>
        <v>1.734256071881046E-3</v>
      </c>
      <c r="G238" s="2"/>
      <c r="H238" s="6">
        <v>2000</v>
      </c>
      <c r="I238" s="2"/>
      <c r="J238" s="7">
        <f t="shared" si="115"/>
        <v>2.0554350842214527E-3</v>
      </c>
      <c r="K238" s="2"/>
      <c r="L238" s="6">
        <f t="shared" si="116"/>
        <v>-1314.0900000000001</v>
      </c>
      <c r="M238" s="2"/>
      <c r="N238" s="7">
        <f t="shared" si="117"/>
        <v>-0.6570450000000001</v>
      </c>
      <c r="O238" s="11"/>
      <c r="P238" s="6">
        <v>4500.59</v>
      </c>
      <c r="Q238" s="2"/>
      <c r="R238" s="7">
        <f t="shared" si="118"/>
        <v>9.6591948366945375E-4</v>
      </c>
      <c r="S238" s="2"/>
      <c r="T238" s="6">
        <v>14550</v>
      </c>
      <c r="U238" s="2"/>
      <c r="V238" s="7">
        <f t="shared" si="119"/>
        <v>1.8649427674058761E-3</v>
      </c>
      <c r="W238" s="2"/>
      <c r="X238" s="6">
        <f t="shared" si="120"/>
        <v>-10049.41</v>
      </c>
      <c r="Y238" s="2"/>
      <c r="Z238" s="7">
        <f t="shared" si="121"/>
        <v>-0.69068109965635738</v>
      </c>
    </row>
    <row r="239" spans="1:26" s="29" customFormat="1" outlineLevel="1" collapsed="1" x14ac:dyDescent="0.25">
      <c r="A239" s="27"/>
      <c r="B239" s="14" t="str">
        <f>CONCATENATE("     ","Telephone/Data Lines                              ")</f>
        <v xml:space="preserve">     Telephone/Data Lines                              </v>
      </c>
      <c r="C239" s="14"/>
      <c r="D239" s="1">
        <f>SUM(OSRRefD22_23x_0)</f>
        <v>4365.58</v>
      </c>
      <c r="E239" s="1"/>
      <c r="F239" s="5">
        <f t="shared" ref="F239:F241" si="122">IF(D$12=0,0,D239/D$12)</f>
        <v>1.1037940287038325E-2</v>
      </c>
      <c r="G239" s="1"/>
      <c r="H239" s="1">
        <f>SUM(OSRRefH22_23x_0)</f>
        <v>4443</v>
      </c>
      <c r="I239" s="1"/>
      <c r="J239" s="5">
        <f t="shared" ref="J239:J241" si="123">IF(H$12=0,0,H239/H$12)</f>
        <v>4.5661490395979571E-3</v>
      </c>
      <c r="K239" s="1"/>
      <c r="L239" s="1">
        <f t="shared" ref="L239:L241" si="124">+D239-H239</f>
        <v>-77.420000000000073</v>
      </c>
      <c r="M239" s="1"/>
      <c r="N239" s="5">
        <f t="shared" ref="N239:N241" si="125">IF(H239=0,0,L239/H239)</f>
        <v>-1.7425163178032877E-2</v>
      </c>
      <c r="O239" s="14"/>
      <c r="P239" s="1">
        <f>SUM(OSRRefP22_23x_0)</f>
        <v>25670.91</v>
      </c>
      <c r="Q239" s="1"/>
      <c r="R239" s="5">
        <f t="shared" ref="R239:R241" si="126">IF(P$12=0,0,P239/P$12)</f>
        <v>5.5095070051982111E-3</v>
      </c>
      <c r="S239" s="1"/>
      <c r="T239" s="1">
        <f>SUM(OSRRefT22_23x_0)</f>
        <v>24498</v>
      </c>
      <c r="U239" s="1"/>
      <c r="V239" s="5">
        <f t="shared" ref="V239:V241" si="127">IF(T$12=0,0,T239/T$12)</f>
        <v>3.1400252863167805E-3</v>
      </c>
      <c r="W239" s="1"/>
      <c r="X239" s="1">
        <f t="shared" ref="X239:X241" si="128">+P239-T239</f>
        <v>1172.9099999999999</v>
      </c>
      <c r="Y239" s="1"/>
      <c r="Z239" s="5">
        <f t="shared" ref="Z239:Z241" si="129">IF(T239=0,0,X239/T239)</f>
        <v>4.7877785941709522E-2</v>
      </c>
    </row>
    <row r="240" spans="1:26" s="24" customFormat="1" hidden="1" outlineLevel="2" x14ac:dyDescent="0.25">
      <c r="A240" s="28"/>
      <c r="B240" s="11" t="str">
        <f>CONCATENATE("          ", "6303", " - ", "DATA PHONE LINES")</f>
        <v xml:space="preserve">          6303 - DATA PHONE LINES</v>
      </c>
      <c r="C240" s="11"/>
      <c r="D240" s="6">
        <v>885</v>
      </c>
      <c r="E240" s="2"/>
      <c r="F240" s="7">
        <f t="shared" si="122"/>
        <v>2.2376355842817948E-3</v>
      </c>
      <c r="G240" s="2"/>
      <c r="H240" s="6">
        <v>1503</v>
      </c>
      <c r="I240" s="2"/>
      <c r="J240" s="7">
        <f t="shared" si="123"/>
        <v>1.5446594657924217E-3</v>
      </c>
      <c r="K240" s="2"/>
      <c r="L240" s="6">
        <f t="shared" si="124"/>
        <v>-618</v>
      </c>
      <c r="M240" s="2"/>
      <c r="N240" s="7">
        <f t="shared" si="125"/>
        <v>-0.41117764471057883</v>
      </c>
      <c r="O240" s="11"/>
      <c r="P240" s="6">
        <v>2065</v>
      </c>
      <c r="Q240" s="2"/>
      <c r="R240" s="7">
        <f t="shared" si="126"/>
        <v>4.4319161127261581E-4</v>
      </c>
      <c r="S240" s="2"/>
      <c r="T240" s="6">
        <v>7538</v>
      </c>
      <c r="U240" s="2"/>
      <c r="V240" s="7">
        <f t="shared" si="127"/>
        <v>9.661813457529549E-4</v>
      </c>
      <c r="W240" s="2"/>
      <c r="X240" s="6">
        <f t="shared" si="128"/>
        <v>-5473</v>
      </c>
      <c r="Y240" s="2"/>
      <c r="Z240" s="7">
        <f t="shared" si="129"/>
        <v>-0.72605465640753519</v>
      </c>
    </row>
    <row r="241" spans="1:26" s="24" customFormat="1" hidden="1" outlineLevel="2" x14ac:dyDescent="0.25">
      <c r="A241" s="28"/>
      <c r="B241" s="11" t="str">
        <f>CONCATENATE("          ", "6309", " - ", "TELEPHONE")</f>
        <v xml:space="preserve">          6309 - TELEPHONE</v>
      </c>
      <c r="C241" s="11"/>
      <c r="D241" s="6">
        <v>3480.58</v>
      </c>
      <c r="E241" s="2"/>
      <c r="F241" s="7">
        <f t="shared" si="122"/>
        <v>8.8003047027565302E-3</v>
      </c>
      <c r="G241" s="2"/>
      <c r="H241" s="6">
        <v>2940</v>
      </c>
      <c r="I241" s="2"/>
      <c r="J241" s="7">
        <f t="shared" si="123"/>
        <v>3.0214895738055352E-3</v>
      </c>
      <c r="K241" s="2"/>
      <c r="L241" s="6">
        <f t="shared" si="124"/>
        <v>540.57999999999993</v>
      </c>
      <c r="M241" s="2"/>
      <c r="N241" s="7">
        <f t="shared" si="125"/>
        <v>0.18387074829931971</v>
      </c>
      <c r="O241" s="11"/>
      <c r="P241" s="6">
        <v>23605.91</v>
      </c>
      <c r="Q241" s="2"/>
      <c r="R241" s="7">
        <f t="shared" si="126"/>
        <v>5.0663153939255953E-3</v>
      </c>
      <c r="S241" s="2"/>
      <c r="T241" s="6">
        <v>16960</v>
      </c>
      <c r="U241" s="2"/>
      <c r="V241" s="7">
        <f t="shared" si="127"/>
        <v>2.1738439405638256E-3</v>
      </c>
      <c r="W241" s="2"/>
      <c r="X241" s="6">
        <f t="shared" si="128"/>
        <v>6645.91</v>
      </c>
      <c r="Y241" s="2"/>
      <c r="Z241" s="7">
        <f t="shared" si="129"/>
        <v>0.39185790094339623</v>
      </c>
    </row>
    <row r="242" spans="1:26" s="29" customFormat="1" outlineLevel="1" collapsed="1" x14ac:dyDescent="0.25">
      <c r="A242" s="27"/>
      <c r="B242" s="14" t="str">
        <f>CONCATENATE("     ","Training                                          ")</f>
        <v xml:space="preserve">     Training                                          </v>
      </c>
      <c r="C242" s="14"/>
      <c r="D242" s="1">
        <f>SUM(OSRRefD22_24x_0)</f>
        <v>400</v>
      </c>
      <c r="E242" s="1"/>
      <c r="F242" s="5">
        <f t="shared" ref="F242:F247" si="130">IF(D$12=0,0,D242/D$12)</f>
        <v>1.0113607160595682E-3</v>
      </c>
      <c r="G242" s="1"/>
      <c r="H242" s="1">
        <f>SUM(OSRRefH22_24x_0)</f>
        <v>1500</v>
      </c>
      <c r="I242" s="1"/>
      <c r="J242" s="5">
        <f t="shared" ref="J242:J247" si="131">IF(H$12=0,0,H242/H$12)</f>
        <v>1.5415763131660894E-3</v>
      </c>
      <c r="K242" s="1"/>
      <c r="L242" s="1">
        <f t="shared" ref="L242:L247" si="132">+D242-H242</f>
        <v>-1100</v>
      </c>
      <c r="M242" s="1"/>
      <c r="N242" s="5">
        <f t="shared" ref="N242:N247" si="133">IF(H242=0,0,L242/H242)</f>
        <v>-0.73333333333333328</v>
      </c>
      <c r="O242" s="14"/>
      <c r="P242" s="1">
        <f>SUM(OSRRefP22_24x_0)</f>
        <v>1380.63</v>
      </c>
      <c r="Q242" s="1"/>
      <c r="R242" s="5">
        <f t="shared" ref="R242:R247" si="134">IF(P$12=0,0,P242/P$12)</f>
        <v>2.96311687298456E-4</v>
      </c>
      <c r="S242" s="1"/>
      <c r="T242" s="1">
        <f>SUM(OSRRefT22_24x_0)</f>
        <v>6830</v>
      </c>
      <c r="U242" s="1"/>
      <c r="V242" s="5">
        <f t="shared" ref="V242:V247" si="135">IF(T$12=0,0,T242/T$12)</f>
        <v>8.7543361521526697E-4</v>
      </c>
      <c r="W242" s="1"/>
      <c r="X242" s="1">
        <f t="shared" ref="X242:X247" si="136">+P242-T242</f>
        <v>-5449.37</v>
      </c>
      <c r="Y242" s="1"/>
      <c r="Z242" s="5">
        <f t="shared" ref="Z242:Z247" si="137">IF(T242=0,0,X242/T242)</f>
        <v>-0.79785797950219617</v>
      </c>
    </row>
    <row r="243" spans="1:26" s="24" customFormat="1" hidden="1" outlineLevel="2" x14ac:dyDescent="0.25">
      <c r="A243" s="28"/>
      <c r="B243" s="11" t="str">
        <f>CONCATENATE("          ", "6376", " - ", "TRAINING")</f>
        <v xml:space="preserve">          6376 - TRAINING</v>
      </c>
      <c r="C243" s="11"/>
      <c r="D243" s="6">
        <v>400</v>
      </c>
      <c r="E243" s="2"/>
      <c r="F243" s="7">
        <f t="shared" si="130"/>
        <v>1.0113607160595682E-3</v>
      </c>
      <c r="G243" s="2"/>
      <c r="H243" s="6">
        <v>1500</v>
      </c>
      <c r="I243" s="2"/>
      <c r="J243" s="7">
        <f t="shared" si="131"/>
        <v>1.5415763131660894E-3</v>
      </c>
      <c r="K243" s="2"/>
      <c r="L243" s="6">
        <f t="shared" si="132"/>
        <v>-1100</v>
      </c>
      <c r="M243" s="2"/>
      <c r="N243" s="7">
        <f t="shared" si="133"/>
        <v>-0.73333333333333328</v>
      </c>
      <c r="O243" s="11"/>
      <c r="P243" s="6">
        <v>1380.63</v>
      </c>
      <c r="Q243" s="2"/>
      <c r="R243" s="7">
        <f t="shared" si="134"/>
        <v>2.96311687298456E-4</v>
      </c>
      <c r="S243" s="2"/>
      <c r="T243" s="6">
        <v>6830</v>
      </c>
      <c r="U243" s="2"/>
      <c r="V243" s="7">
        <f t="shared" si="135"/>
        <v>8.7543361521526697E-4</v>
      </c>
      <c r="W243" s="2"/>
      <c r="X243" s="6">
        <f t="shared" si="136"/>
        <v>-5449.37</v>
      </c>
      <c r="Y243" s="2"/>
      <c r="Z243" s="7">
        <f t="shared" si="137"/>
        <v>-0.79785797950219617</v>
      </c>
    </row>
    <row r="244" spans="1:26" s="29" customFormat="1" outlineLevel="1" collapsed="1" x14ac:dyDescent="0.25">
      <c r="A244" s="27"/>
      <c r="B244" s="14" t="str">
        <f>CONCATENATE("     ","Travel                                            ")</f>
        <v xml:space="preserve">     Travel                                            </v>
      </c>
      <c r="C244" s="14"/>
      <c r="D244" s="1">
        <f>SUM(OSRRefD22_25x_0)</f>
        <v>299</v>
      </c>
      <c r="E244" s="1"/>
      <c r="F244" s="5">
        <f t="shared" si="130"/>
        <v>7.5599213525452723E-4</v>
      </c>
      <c r="G244" s="1"/>
      <c r="H244" s="1">
        <f>SUM(OSRRefH22_25x_0)</f>
        <v>350</v>
      </c>
      <c r="I244" s="1"/>
      <c r="J244" s="5">
        <f t="shared" si="131"/>
        <v>3.5970113973875418E-4</v>
      </c>
      <c r="K244" s="1"/>
      <c r="L244" s="1">
        <f t="shared" si="132"/>
        <v>-51</v>
      </c>
      <c r="M244" s="1"/>
      <c r="N244" s="5">
        <f t="shared" si="133"/>
        <v>-0.14571428571428571</v>
      </c>
      <c r="O244" s="14"/>
      <c r="P244" s="1">
        <f>SUM(OSRRefP22_25x_0)</f>
        <v>1013.14</v>
      </c>
      <c r="Q244" s="1"/>
      <c r="R244" s="5">
        <f t="shared" si="134"/>
        <v>2.1744075014273025E-4</v>
      </c>
      <c r="S244" s="1"/>
      <c r="T244" s="1">
        <f>SUM(OSRRefT22_25x_0)</f>
        <v>3250</v>
      </c>
      <c r="U244" s="1"/>
      <c r="V244" s="5">
        <f t="shared" si="135"/>
        <v>4.1656797210096891E-4</v>
      </c>
      <c r="W244" s="1"/>
      <c r="X244" s="1">
        <f t="shared" si="136"/>
        <v>-2236.86</v>
      </c>
      <c r="Y244" s="1"/>
      <c r="Z244" s="5">
        <f t="shared" si="137"/>
        <v>-0.68826461538461547</v>
      </c>
    </row>
    <row r="245" spans="1:26" s="24" customFormat="1" hidden="1" outlineLevel="2" x14ac:dyDescent="0.25">
      <c r="A245" s="28"/>
      <c r="B245" s="11" t="str">
        <f>CONCATENATE("          ", "6292", " - ", "TRAVEL/CONFERENCE")</f>
        <v xml:space="preserve">          6292 - TRAVEL/CONFERENCE</v>
      </c>
      <c r="C245" s="11"/>
      <c r="D245" s="6">
        <v>299</v>
      </c>
      <c r="E245" s="2"/>
      <c r="F245" s="7">
        <f t="shared" si="130"/>
        <v>7.5599213525452723E-4</v>
      </c>
      <c r="G245" s="2"/>
      <c r="H245" s="6">
        <v>300</v>
      </c>
      <c r="I245" s="2"/>
      <c r="J245" s="7">
        <f t="shared" si="131"/>
        <v>3.0831526263321789E-4</v>
      </c>
      <c r="K245" s="2"/>
      <c r="L245" s="6">
        <f t="shared" si="132"/>
        <v>-1</v>
      </c>
      <c r="M245" s="2"/>
      <c r="N245" s="7">
        <f t="shared" si="133"/>
        <v>-3.3333333333333335E-3</v>
      </c>
      <c r="O245" s="11"/>
      <c r="P245" s="6">
        <v>299.16000000000003</v>
      </c>
      <c r="Q245" s="2"/>
      <c r="R245" s="7">
        <f t="shared" si="134"/>
        <v>6.4205909166254596E-5</v>
      </c>
      <c r="S245" s="2"/>
      <c r="T245" s="6">
        <v>3000</v>
      </c>
      <c r="U245" s="2"/>
      <c r="V245" s="7">
        <f t="shared" si="135"/>
        <v>3.8452428193935589E-4</v>
      </c>
      <c r="W245" s="2"/>
      <c r="X245" s="6">
        <f t="shared" si="136"/>
        <v>-2700.84</v>
      </c>
      <c r="Y245" s="2"/>
      <c r="Z245" s="7">
        <f t="shared" si="137"/>
        <v>-0.90028000000000008</v>
      </c>
    </row>
    <row r="246" spans="1:26" s="24" customFormat="1" hidden="1" outlineLevel="2" x14ac:dyDescent="0.25">
      <c r="A246" s="28"/>
      <c r="B246" s="11" t="str">
        <f>CONCATENATE("          ", "6294", " - ", "TRAVEL OPERATIONAL")</f>
        <v xml:space="preserve">          6294 - TRAVEL OPERATIONAL</v>
      </c>
      <c r="C246" s="11"/>
      <c r="D246" s="6"/>
      <c r="E246" s="2"/>
      <c r="F246" s="7">
        <f t="shared" si="130"/>
        <v>0</v>
      </c>
      <c r="G246" s="2"/>
      <c r="H246" s="6">
        <v>25</v>
      </c>
      <c r="I246" s="2"/>
      <c r="J246" s="7">
        <f t="shared" si="131"/>
        <v>2.5692938552768158E-5</v>
      </c>
      <c r="K246" s="2"/>
      <c r="L246" s="6">
        <f t="shared" si="132"/>
        <v>-25</v>
      </c>
      <c r="M246" s="2"/>
      <c r="N246" s="7">
        <f t="shared" si="133"/>
        <v>-1</v>
      </c>
      <c r="O246" s="11"/>
      <c r="P246" s="6">
        <v>321.88</v>
      </c>
      <c r="Q246" s="2"/>
      <c r="R246" s="7">
        <f t="shared" si="134"/>
        <v>6.9082089993428359E-5</v>
      </c>
      <c r="S246" s="2"/>
      <c r="T246" s="6">
        <v>125</v>
      </c>
      <c r="U246" s="2"/>
      <c r="V246" s="7">
        <f t="shared" si="135"/>
        <v>1.6021845080806495E-5</v>
      </c>
      <c r="W246" s="2"/>
      <c r="X246" s="6">
        <f t="shared" si="136"/>
        <v>196.88</v>
      </c>
      <c r="Y246" s="2"/>
      <c r="Z246" s="7">
        <f t="shared" si="137"/>
        <v>1.57504</v>
      </c>
    </row>
    <row r="247" spans="1:26" s="24" customFormat="1" hidden="1" outlineLevel="2" x14ac:dyDescent="0.25">
      <c r="A247" s="28"/>
      <c r="B247" s="11" t="str">
        <f>CONCATENATE("          ", "6298", " - ", "VEHICLE MILEAGE")</f>
        <v xml:space="preserve">          6298 - VEHICLE MILEAGE</v>
      </c>
      <c r="C247" s="11"/>
      <c r="D247" s="6"/>
      <c r="E247" s="2"/>
      <c r="F247" s="7">
        <f t="shared" si="130"/>
        <v>0</v>
      </c>
      <c r="G247" s="2"/>
      <c r="H247" s="6">
        <v>25</v>
      </c>
      <c r="I247" s="2"/>
      <c r="J247" s="7">
        <f t="shared" si="131"/>
        <v>2.5692938552768158E-5</v>
      </c>
      <c r="K247" s="2"/>
      <c r="L247" s="6">
        <f t="shared" si="132"/>
        <v>-25</v>
      </c>
      <c r="M247" s="2"/>
      <c r="N247" s="7">
        <f t="shared" si="133"/>
        <v>-1</v>
      </c>
      <c r="O247" s="11"/>
      <c r="P247" s="6">
        <v>392.1</v>
      </c>
      <c r="Q247" s="2"/>
      <c r="R247" s="7">
        <f t="shared" si="134"/>
        <v>8.4152750983047291E-5</v>
      </c>
      <c r="S247" s="2"/>
      <c r="T247" s="6">
        <v>125</v>
      </c>
      <c r="U247" s="2"/>
      <c r="V247" s="7">
        <f t="shared" si="135"/>
        <v>1.6021845080806495E-5</v>
      </c>
      <c r="W247" s="2"/>
      <c r="X247" s="6">
        <f t="shared" si="136"/>
        <v>267.10000000000002</v>
      </c>
      <c r="Y247" s="2"/>
      <c r="Z247" s="7">
        <f t="shared" si="137"/>
        <v>2.1368</v>
      </c>
    </row>
    <row r="248" spans="1:26" s="29" customFormat="1" outlineLevel="1" collapsed="1" x14ac:dyDescent="0.25">
      <c r="A248" s="27"/>
      <c r="B248" s="14" t="str">
        <f>CONCATENATE("     ","Utilities                                         ")</f>
        <v xml:space="preserve">     Utilities                                         </v>
      </c>
      <c r="C248" s="14"/>
      <c r="D248" s="1">
        <f>SUM(OSRRefD22_26x_0)</f>
        <v>10946.38</v>
      </c>
      <c r="E248" s="1"/>
      <c r="F248" s="5">
        <f t="shared" ref="F248:F249" si="138">IF(D$12=0,0,D248/D$12)</f>
        <v>2.7676846787650339E-2</v>
      </c>
      <c r="G248" s="1"/>
      <c r="H248" s="1">
        <f>SUM(OSRRefH22_26x_0)</f>
        <v>10226</v>
      </c>
      <c r="I248" s="1"/>
      <c r="J248" s="5">
        <f t="shared" ref="J248:J249" si="139">IF(H$12=0,0,H248/H$12)</f>
        <v>1.0509439585624288E-2</v>
      </c>
      <c r="K248" s="1"/>
      <c r="L248" s="1">
        <f t="shared" ref="L248:L249" si="140">+D248-H248</f>
        <v>720.3799999999992</v>
      </c>
      <c r="M248" s="1"/>
      <c r="N248" s="5">
        <f t="shared" ref="N248:N249" si="141">IF(H248=0,0,L248/H248)</f>
        <v>7.0445922159201951E-2</v>
      </c>
      <c r="O248" s="14"/>
      <c r="P248" s="1">
        <f>SUM(OSRRefP22_26x_0)</f>
        <v>30339.809999999998</v>
      </c>
      <c r="Q248" s="1"/>
      <c r="R248" s="5">
        <f t="shared" ref="R248:R249" si="142">IF(P$12=0,0,P248/P$12)</f>
        <v>6.5115492879443196E-3</v>
      </c>
      <c r="S248" s="1"/>
      <c r="T248" s="1">
        <f>SUM(OSRRefT22_26x_0)</f>
        <v>50359</v>
      </c>
      <c r="U248" s="1"/>
      <c r="V248" s="5">
        <f t="shared" ref="V248:V249" si="143">IF(T$12=0,0,T248/T$12)</f>
        <v>6.4547527713946749E-3</v>
      </c>
      <c r="W248" s="1"/>
      <c r="X248" s="1">
        <f t="shared" ref="X248:X249" si="144">+P248-T248</f>
        <v>-20019.190000000002</v>
      </c>
      <c r="Y248" s="1"/>
      <c r="Z248" s="5">
        <f t="shared" ref="Z248:Z249" si="145">IF(T248=0,0,X248/T248)</f>
        <v>-0.39752953791775059</v>
      </c>
    </row>
    <row r="249" spans="1:26" s="24" customFormat="1" hidden="1" outlineLevel="2" x14ac:dyDescent="0.25">
      <c r="A249" s="28"/>
      <c r="B249" s="11" t="str">
        <f>CONCATENATE("          ", "6274", " - ", "UTILITIES")</f>
        <v xml:space="preserve">          6274 - UTILITIES</v>
      </c>
      <c r="C249" s="11"/>
      <c r="D249" s="6">
        <v>10946.38</v>
      </c>
      <c r="E249" s="2"/>
      <c r="F249" s="7">
        <f t="shared" si="138"/>
        <v>2.7676846787650339E-2</v>
      </c>
      <c r="G249" s="2"/>
      <c r="H249" s="6">
        <v>10226</v>
      </c>
      <c r="I249" s="2"/>
      <c r="J249" s="7">
        <f t="shared" si="139"/>
        <v>1.0509439585624288E-2</v>
      </c>
      <c r="K249" s="2"/>
      <c r="L249" s="6">
        <f t="shared" si="140"/>
        <v>720.3799999999992</v>
      </c>
      <c r="M249" s="2"/>
      <c r="N249" s="7">
        <f t="shared" si="141"/>
        <v>7.0445922159201951E-2</v>
      </c>
      <c r="O249" s="11"/>
      <c r="P249" s="6">
        <v>30339.809999999998</v>
      </c>
      <c r="Q249" s="2"/>
      <c r="R249" s="7">
        <f t="shared" si="142"/>
        <v>6.5115492879443196E-3</v>
      </c>
      <c r="S249" s="2"/>
      <c r="T249" s="6">
        <v>50359</v>
      </c>
      <c r="U249" s="2"/>
      <c r="V249" s="7">
        <f t="shared" si="143"/>
        <v>6.4547527713946749E-3</v>
      </c>
      <c r="W249" s="2"/>
      <c r="X249" s="6">
        <f t="shared" si="144"/>
        <v>-20019.190000000002</v>
      </c>
      <c r="Y249" s="2"/>
      <c r="Z249" s="7">
        <f t="shared" si="145"/>
        <v>-0.39752953791775059</v>
      </c>
    </row>
    <row r="250" spans="1:26" s="62" customFormat="1" x14ac:dyDescent="0.25">
      <c r="A250" s="36"/>
      <c r="B250" s="36"/>
      <c r="C250" s="36"/>
      <c r="D250" s="1"/>
      <c r="E250" s="1"/>
      <c r="F250" s="5"/>
      <c r="G250" s="1"/>
      <c r="H250" s="1"/>
      <c r="I250" s="1"/>
      <c r="J250" s="5"/>
      <c r="K250" s="1"/>
      <c r="L250" s="1"/>
      <c r="M250" s="1"/>
      <c r="N250" s="5"/>
      <c r="O250" s="36"/>
      <c r="P250" s="1"/>
      <c r="Q250" s="1"/>
      <c r="R250" s="5"/>
      <c r="S250" s="1"/>
      <c r="T250" s="1"/>
      <c r="U250" s="1"/>
      <c r="V250" s="5"/>
      <c r="W250" s="1"/>
      <c r="X250" s="1"/>
      <c r="Y250" s="1"/>
      <c r="Z250" s="5"/>
    </row>
    <row r="251" spans="1:26" s="23" customFormat="1" collapsed="1" x14ac:dyDescent="0.25">
      <c r="A251" s="10"/>
      <c r="B251" s="26" t="s">
        <v>0</v>
      </c>
      <c r="C251" s="10"/>
      <c r="D251" s="4">
        <f>SUM(OSRRefD25x_0)</f>
        <v>72335.209999999992</v>
      </c>
      <c r="E251" s="4"/>
      <c r="F251" s="12">
        <f t="shared" ref="F251:F258" si="146">IF(D$12=0,0,D251/D$12)</f>
        <v>0.18289247445479809</v>
      </c>
      <c r="G251" s="4"/>
      <c r="H251" s="4">
        <f>SUM(OSRRefH25x_0)</f>
        <v>42002</v>
      </c>
      <c r="I251" s="4"/>
      <c r="J251" s="12">
        <f t="shared" ref="J251:J258" si="147">IF(H$12=0,0,H251/H$12)</f>
        <v>4.3166192203734723E-2</v>
      </c>
      <c r="K251" s="4"/>
      <c r="L251" s="4">
        <f t="shared" ref="L251:L258" si="148">+D251-H251</f>
        <v>30333.209999999992</v>
      </c>
      <c r="M251" s="4"/>
      <c r="N251" s="12">
        <f t="shared" ref="N251:N258" si="149">IF(H251=0,0,L251/H251)</f>
        <v>0.72218489595733515</v>
      </c>
      <c r="O251" s="10"/>
      <c r="P251" s="4">
        <f>SUM(OSRRefP25x_0)</f>
        <v>530506.23</v>
      </c>
      <c r="Q251" s="4"/>
      <c r="R251" s="12">
        <f t="shared" ref="R251:R258" si="150">IF(P$12=0,0,P251/P$12)</f>
        <v>0.11385758395344353</v>
      </c>
      <c r="S251" s="4"/>
      <c r="T251" s="4">
        <f>SUM(OSRRefT25x_0)</f>
        <v>307613</v>
      </c>
      <c r="U251" s="4"/>
      <c r="V251" s="12">
        <f t="shared" ref="V251:V258" si="151">IF(T$12=0,0,T251/T$12)</f>
        <v>3.9428222646737031E-2</v>
      </c>
      <c r="W251" s="4"/>
      <c r="X251" s="4">
        <f t="shared" ref="X251:X258" si="152">+P251-T251</f>
        <v>222893.22999999998</v>
      </c>
      <c r="Y251" s="4"/>
      <c r="Z251" s="12">
        <f t="shared" ref="Z251:Z258" si="153">IF(T251=0,0,X251/T251)</f>
        <v>0.72458976051077162</v>
      </c>
    </row>
    <row r="252" spans="1:26" s="24" customFormat="1" hidden="1" outlineLevel="1" x14ac:dyDescent="0.25">
      <c r="A252" s="51"/>
      <c r="B252" s="11" t="str">
        <f>CONCATENATE("          ", "4187", " - ", "NON-TAXABLE SALES-COMPUTER REP")</f>
        <v xml:space="preserve">          4187 - NON-TAXABLE SALES-COMPUTER REP</v>
      </c>
      <c r="C252" s="11"/>
      <c r="D252" s="2">
        <f>-374.75</f>
        <v>-374.75</v>
      </c>
      <c r="E252" s="2"/>
      <c r="F252" s="22">
        <f t="shared" si="146"/>
        <v>-9.4751857085830806E-4</v>
      </c>
      <c r="G252" s="2"/>
      <c r="H252" s="2"/>
      <c r="I252" s="2"/>
      <c r="J252" s="22">
        <f t="shared" si="147"/>
        <v>0</v>
      </c>
      <c r="K252" s="2"/>
      <c r="L252" s="2">
        <f t="shared" si="148"/>
        <v>-374.75</v>
      </c>
      <c r="M252" s="2"/>
      <c r="N252" s="22">
        <f t="shared" si="149"/>
        <v>0</v>
      </c>
      <c r="O252" s="11"/>
      <c r="P252" s="2">
        <f>--563.21</f>
        <v>563.21</v>
      </c>
      <c r="Q252" s="2"/>
      <c r="R252" s="22">
        <f t="shared" si="150"/>
        <v>1.2087648783769973E-4</v>
      </c>
      <c r="S252" s="2"/>
      <c r="T252" s="2"/>
      <c r="U252" s="2"/>
      <c r="V252" s="22">
        <f t="shared" si="151"/>
        <v>0</v>
      </c>
      <c r="W252" s="2"/>
      <c r="X252" s="2">
        <f t="shared" si="152"/>
        <v>563.21</v>
      </c>
      <c r="Y252" s="2"/>
      <c r="Z252" s="22">
        <f t="shared" si="153"/>
        <v>0</v>
      </c>
    </row>
    <row r="253" spans="1:26" s="24" customFormat="1" hidden="1" outlineLevel="1" x14ac:dyDescent="0.25">
      <c r="A253" s="51"/>
      <c r="B253" s="11" t="str">
        <f>CONCATENATE("          ", "9150", " - ", "MISC. INCOME")</f>
        <v xml:space="preserve">          9150 - MISC. INCOME</v>
      </c>
      <c r="C253" s="11"/>
      <c r="D253" s="2">
        <f>--57539.34</f>
        <v>57539.34</v>
      </c>
      <c r="E253" s="2"/>
      <c r="F253" s="22">
        <f t="shared" si="146"/>
        <v>0.1454825702599874</v>
      </c>
      <c r="G253" s="2"/>
      <c r="H253" s="2">
        <v>24229</v>
      </c>
      <c r="I253" s="2"/>
      <c r="J253" s="22">
        <f t="shared" si="147"/>
        <v>2.4900568327800788E-2</v>
      </c>
      <c r="K253" s="2"/>
      <c r="L253" s="2">
        <f t="shared" si="148"/>
        <v>33310.339999999997</v>
      </c>
      <c r="M253" s="2"/>
      <c r="N253" s="22">
        <f t="shared" si="149"/>
        <v>1.3748128276032852</v>
      </c>
      <c r="O253" s="11"/>
      <c r="P253" s="2">
        <f>--201318.66</f>
        <v>201318.66</v>
      </c>
      <c r="Q253" s="2"/>
      <c r="R253" s="22">
        <f t="shared" si="150"/>
        <v>4.3207138646316659E-2</v>
      </c>
      <c r="S253" s="2"/>
      <c r="T253" s="2">
        <v>129315</v>
      </c>
      <c r="U253" s="2"/>
      <c r="V253" s="22">
        <f t="shared" si="151"/>
        <v>1.6574919172995937E-2</v>
      </c>
      <c r="W253" s="2"/>
      <c r="X253" s="2">
        <f t="shared" si="152"/>
        <v>72003.66</v>
      </c>
      <c r="Y253" s="2"/>
      <c r="Z253" s="22">
        <f t="shared" si="153"/>
        <v>0.55680825890267949</v>
      </c>
    </row>
    <row r="254" spans="1:26" s="24" customFormat="1" hidden="1" outlineLevel="1" x14ac:dyDescent="0.25">
      <c r="A254" s="51"/>
      <c r="B254" s="11" t="str">
        <f>CONCATENATE("          ", "9151", " - ", "MISC. INCOME")</f>
        <v xml:space="preserve">          9151 - MISC. INCOME</v>
      </c>
      <c r="C254" s="11"/>
      <c r="D254" s="2">
        <f>0</f>
        <v>0</v>
      </c>
      <c r="E254" s="2"/>
      <c r="F254" s="22">
        <f t="shared" si="146"/>
        <v>0</v>
      </c>
      <c r="G254" s="2"/>
      <c r="H254" s="2">
        <v>16583</v>
      </c>
      <c r="I254" s="2"/>
      <c r="J254" s="22">
        <f t="shared" si="147"/>
        <v>1.7042640000822173E-2</v>
      </c>
      <c r="K254" s="2"/>
      <c r="L254" s="2">
        <f t="shared" si="148"/>
        <v>-16583</v>
      </c>
      <c r="M254" s="2"/>
      <c r="N254" s="22">
        <f t="shared" si="149"/>
        <v>-1</v>
      </c>
      <c r="O254" s="11"/>
      <c r="P254" s="2">
        <f>--147285.39</f>
        <v>147285.39000000001</v>
      </c>
      <c r="Q254" s="2"/>
      <c r="R254" s="22">
        <f t="shared" si="150"/>
        <v>3.1610483927852602E-2</v>
      </c>
      <c r="S254" s="2"/>
      <c r="T254" s="2">
        <v>176552</v>
      </c>
      <c r="U254" s="2"/>
      <c r="V254" s="22">
        <f t="shared" si="151"/>
        <v>2.2629510341652389E-2</v>
      </c>
      <c r="W254" s="2"/>
      <c r="X254" s="2">
        <f t="shared" si="152"/>
        <v>-29266.609999999986</v>
      </c>
      <c r="Y254" s="2"/>
      <c r="Z254" s="22">
        <f t="shared" si="153"/>
        <v>-0.16576764919117307</v>
      </c>
    </row>
    <row r="255" spans="1:26" s="24" customFormat="1" hidden="1" outlineLevel="1" x14ac:dyDescent="0.25">
      <c r="A255" s="51"/>
      <c r="B255" s="11" t="str">
        <f>CONCATENATE("          ", "9152", " - ", "MISC. INCOME")</f>
        <v xml:space="preserve">          9152 - MISC. INCOME</v>
      </c>
      <c r="C255" s="11"/>
      <c r="D255" s="2">
        <f>--255.21</f>
        <v>255.21</v>
      </c>
      <c r="E255" s="2"/>
      <c r="F255" s="22">
        <f t="shared" si="146"/>
        <v>6.4527342086390604E-4</v>
      </c>
      <c r="G255" s="2"/>
      <c r="H255" s="2"/>
      <c r="I255" s="2"/>
      <c r="J255" s="22">
        <f t="shared" si="147"/>
        <v>0</v>
      </c>
      <c r="K255" s="2"/>
      <c r="L255" s="2">
        <f t="shared" si="148"/>
        <v>255.21</v>
      </c>
      <c r="M255" s="2"/>
      <c r="N255" s="22">
        <f t="shared" si="149"/>
        <v>0</v>
      </c>
      <c r="O255" s="11"/>
      <c r="P255" s="2">
        <f>--2606.23</f>
        <v>2606.23</v>
      </c>
      <c r="Q255" s="2"/>
      <c r="R255" s="22">
        <f t="shared" si="150"/>
        <v>5.593507375530409E-4</v>
      </c>
      <c r="S255" s="2"/>
      <c r="T255" s="2"/>
      <c r="U255" s="2"/>
      <c r="V255" s="22">
        <f t="shared" si="151"/>
        <v>0</v>
      </c>
      <c r="W255" s="2"/>
      <c r="X255" s="2">
        <f t="shared" si="152"/>
        <v>2606.23</v>
      </c>
      <c r="Y255" s="2"/>
      <c r="Z255" s="22">
        <f t="shared" si="153"/>
        <v>0</v>
      </c>
    </row>
    <row r="256" spans="1:26" s="24" customFormat="1" hidden="1" outlineLevel="1" x14ac:dyDescent="0.25">
      <c r="A256" s="51"/>
      <c r="B256" s="11" t="str">
        <f>CONCATENATE("          ", "9160", " - ", "MISC. INCOME")</f>
        <v xml:space="preserve">          9160 - MISC. INCOME</v>
      </c>
      <c r="C256" s="11"/>
      <c r="D256" s="2">
        <f>0</f>
        <v>0</v>
      </c>
      <c r="E256" s="2"/>
      <c r="F256" s="22">
        <f t="shared" si="146"/>
        <v>0</v>
      </c>
      <c r="G256" s="2"/>
      <c r="H256" s="2">
        <v>1190</v>
      </c>
      <c r="I256" s="2"/>
      <c r="J256" s="22">
        <f t="shared" si="147"/>
        <v>1.2229838751117643E-3</v>
      </c>
      <c r="K256" s="2"/>
      <c r="L256" s="2">
        <f t="shared" si="148"/>
        <v>-1190</v>
      </c>
      <c r="M256" s="2"/>
      <c r="N256" s="22">
        <f t="shared" si="149"/>
        <v>-1</v>
      </c>
      <c r="O256" s="11"/>
      <c r="P256" s="2">
        <f>--2328.25</f>
        <v>2328.25</v>
      </c>
      <c r="Q256" s="2"/>
      <c r="R256" s="22">
        <f t="shared" si="150"/>
        <v>4.9969049343606188E-4</v>
      </c>
      <c r="S256" s="2"/>
      <c r="T256" s="2">
        <v>1746</v>
      </c>
      <c r="U256" s="2"/>
      <c r="V256" s="22">
        <f t="shared" si="151"/>
        <v>2.2379313208870514E-4</v>
      </c>
      <c r="W256" s="2"/>
      <c r="X256" s="2">
        <f t="shared" si="152"/>
        <v>582.25</v>
      </c>
      <c r="Y256" s="2"/>
      <c r="Z256" s="22">
        <f t="shared" si="153"/>
        <v>0.33347651775486825</v>
      </c>
    </row>
    <row r="257" spans="1:26" s="24" customFormat="1" hidden="1" outlineLevel="1" x14ac:dyDescent="0.25">
      <c r="A257" s="51"/>
      <c r="B257" s="11" t="str">
        <f>CONCATENATE("          ", "9163", " - ", "MISC. INCOME")</f>
        <v xml:space="preserve">          9163 - MISC. INCOME</v>
      </c>
      <c r="C257" s="11"/>
      <c r="D257" s="2">
        <f>--14741.94</f>
        <v>14741.94</v>
      </c>
      <c r="E257" s="2"/>
      <c r="F257" s="22">
        <f t="shared" si="146"/>
        <v>3.7273547486267981E-2</v>
      </c>
      <c r="G257" s="2"/>
      <c r="H257" s="2"/>
      <c r="I257" s="2"/>
      <c r="J257" s="22">
        <f t="shared" si="147"/>
        <v>0</v>
      </c>
      <c r="K257" s="2"/>
      <c r="L257" s="2">
        <f t="shared" si="148"/>
        <v>14741.94</v>
      </c>
      <c r="M257" s="2"/>
      <c r="N257" s="22">
        <f t="shared" si="149"/>
        <v>0</v>
      </c>
      <c r="O257" s="11"/>
      <c r="P257" s="2">
        <f>--175405.84</f>
        <v>175405.84</v>
      </c>
      <c r="Q257" s="2"/>
      <c r="R257" s="22">
        <f t="shared" si="150"/>
        <v>3.7645712763305882E-2</v>
      </c>
      <c r="S257" s="2"/>
      <c r="T257" s="2"/>
      <c r="U257" s="2"/>
      <c r="V257" s="22">
        <f t="shared" si="151"/>
        <v>0</v>
      </c>
      <c r="W257" s="2"/>
      <c r="X257" s="2">
        <f t="shared" si="152"/>
        <v>175405.84</v>
      </c>
      <c r="Y257" s="2"/>
      <c r="Z257" s="22">
        <f t="shared" si="153"/>
        <v>0</v>
      </c>
    </row>
    <row r="258" spans="1:26" s="24" customFormat="1" hidden="1" outlineLevel="1" x14ac:dyDescent="0.25">
      <c r="A258" s="51"/>
      <c r="B258" s="11" t="str">
        <f>CONCATENATE("          ", "9165", " - ", "OTHER INCOME")</f>
        <v xml:space="preserve">          9165 - OTHER INCOME</v>
      </c>
      <c r="C258" s="11"/>
      <c r="D258" s="2">
        <f>--173.47</f>
        <v>173.47</v>
      </c>
      <c r="E258" s="2"/>
      <c r="F258" s="22">
        <f t="shared" si="146"/>
        <v>4.3860185853713326E-4</v>
      </c>
      <c r="G258" s="2"/>
      <c r="H258" s="2"/>
      <c r="I258" s="2"/>
      <c r="J258" s="22">
        <f t="shared" si="147"/>
        <v>0</v>
      </c>
      <c r="K258" s="2"/>
      <c r="L258" s="2">
        <f t="shared" si="148"/>
        <v>173.47</v>
      </c>
      <c r="M258" s="2"/>
      <c r="N258" s="22">
        <f t="shared" si="149"/>
        <v>0</v>
      </c>
      <c r="O258" s="11"/>
      <c r="P258" s="2">
        <f>--998.65</f>
        <v>998.65</v>
      </c>
      <c r="Q258" s="2"/>
      <c r="R258" s="22">
        <f t="shared" si="150"/>
        <v>2.1433089714159698E-4</v>
      </c>
      <c r="S258" s="2"/>
      <c r="T258" s="2"/>
      <c r="U258" s="2"/>
      <c r="V258" s="22">
        <f t="shared" si="151"/>
        <v>0</v>
      </c>
      <c r="W258" s="2"/>
      <c r="X258" s="2">
        <f t="shared" si="152"/>
        <v>998.65</v>
      </c>
      <c r="Y258" s="2"/>
      <c r="Z258" s="22">
        <f t="shared" si="153"/>
        <v>0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10"/>
      <c r="B260" s="25" t="s">
        <v>3</v>
      </c>
      <c r="C260" s="25"/>
      <c r="D260" s="21">
        <f>+D143-D145+D251</f>
        <v>-341238.00999999943</v>
      </c>
      <c r="E260" s="13"/>
      <c r="F260" s="20">
        <f>IF(D$12=0,0,D260/D$12)</f>
        <v>-0.8627867953508539</v>
      </c>
      <c r="G260" s="13"/>
      <c r="H260" s="21">
        <f>+H143-H145+H251</f>
        <v>-250566.18347677111</v>
      </c>
      <c r="I260" s="13"/>
      <c r="J260" s="20">
        <f>IF(H$12=0,0,H260/H$12)</f>
        <v>-0.25751126221881249</v>
      </c>
      <c r="K260" s="16"/>
      <c r="L260" s="21">
        <f>+D260-H260</f>
        <v>-90671.826523228316</v>
      </c>
      <c r="M260" s="16"/>
      <c r="N260" s="20">
        <f>IF(H260=0,0,L260/H260)</f>
        <v>0.36186777188005542</v>
      </c>
      <c r="O260" s="26"/>
      <c r="P260" s="21">
        <f>+P143-P145+P251</f>
        <v>-1349428.3899999997</v>
      </c>
      <c r="Q260" s="13"/>
      <c r="R260" s="20">
        <f>IF(P$12=0,0,P260/P$12)</f>
        <v>-0.28961517794726954</v>
      </c>
      <c r="S260" s="13"/>
      <c r="T260" s="21">
        <f>+T143-T145+T251</f>
        <v>-933029.44820117578</v>
      </c>
      <c r="U260" s="13"/>
      <c r="V260" s="20">
        <f>IF(T$12=0,0,T260/T$12)</f>
        <v>-0.11959082619927686</v>
      </c>
      <c r="W260" s="16"/>
      <c r="X260" s="21">
        <f>+P260-T260</f>
        <v>-416398.94179882389</v>
      </c>
      <c r="Y260" s="16"/>
      <c r="Z260" s="20">
        <f>IF(T260=0,0,X260/T260)</f>
        <v>0.4462870304914982</v>
      </c>
    </row>
    <row r="261" spans="1:26" x14ac:dyDescent="0.25">
      <c r="A261" s="9"/>
      <c r="B261" s="10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2"/>
      <c r="B262" s="10" t="s">
        <v>14</v>
      </c>
      <c r="C262" s="10"/>
      <c r="D262" s="4">
        <v>-183271.43</v>
      </c>
      <c r="E262" s="4"/>
      <c r="F262" s="12">
        <f>IF(D$12=0,0,D262/D$12)</f>
        <v>-0.46338381169515258</v>
      </c>
      <c r="G262" s="4"/>
      <c r="H262" s="4">
        <v>272716</v>
      </c>
      <c r="I262" s="4"/>
      <c r="J262" s="12">
        <f>IF(H$12=0,0,H262/H$12)</f>
        <v>0.28027501721426884</v>
      </c>
      <c r="K262" s="4"/>
      <c r="L262" s="4">
        <f>+D262-H262</f>
        <v>-455987.43</v>
      </c>
      <c r="M262" s="4"/>
      <c r="N262" s="12">
        <f>IF(H262=0,0,L262/H262)</f>
        <v>-1.6720230202848385</v>
      </c>
      <c r="O262" s="10"/>
      <c r="P262" s="4">
        <v>740376.26</v>
      </c>
      <c r="Q262" s="4"/>
      <c r="R262" s="12">
        <f>IF(P$12=0,0,P262/P$12)</f>
        <v>0.15890002305927028</v>
      </c>
      <c r="S262" s="4"/>
      <c r="T262" s="4">
        <v>1392233</v>
      </c>
      <c r="U262" s="4"/>
      <c r="V262" s="12">
        <f>IF(T$12=0,0,T262/T$12)</f>
        <v>0.17844913153909175</v>
      </c>
      <c r="W262" s="4"/>
      <c r="X262" s="4">
        <f>+P262-T262</f>
        <v>-651856.74</v>
      </c>
      <c r="Y262" s="4"/>
      <c r="Z262" s="12">
        <f>IF(T262=0,0,X262/T262)</f>
        <v>-0.4682095166541807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ht="15.75" thickBot="1" x14ac:dyDescent="0.3">
      <c r="A264" s="10"/>
      <c r="B264" s="25" t="s">
        <v>4</v>
      </c>
      <c r="C264" s="25"/>
      <c r="D264" s="31">
        <f>+D260-D262</f>
        <v>-157966.57999999943</v>
      </c>
      <c r="E264" s="13"/>
      <c r="F264" s="34">
        <f>IF(D$12=0,0,D264/D$12)</f>
        <v>-0.39940298365570126</v>
      </c>
      <c r="G264" s="13"/>
      <c r="H264" s="31">
        <f>+H260-H262</f>
        <v>-523282.18347677111</v>
      </c>
      <c r="I264" s="13"/>
      <c r="J264" s="34">
        <f>IF(H$12=0,0,H264/H$12)</f>
        <v>-0.53778627943308133</v>
      </c>
      <c r="K264" s="16"/>
      <c r="L264" s="31">
        <f>D264-H264</f>
        <v>365315.60347677168</v>
      </c>
      <c r="M264" s="16"/>
      <c r="N264" s="34">
        <f>IF(H264=0,0,L264/H264)</f>
        <v>-0.69812352686949131</v>
      </c>
      <c r="O264" s="26"/>
      <c r="P264" s="31">
        <f>+P260-P262</f>
        <v>-2089804.6499999997</v>
      </c>
      <c r="Q264" s="13"/>
      <c r="R264" s="34">
        <f>IF(P$12=0,0,P264/P$12)</f>
        <v>-0.44851520100653985</v>
      </c>
      <c r="S264" s="13"/>
      <c r="T264" s="31">
        <f>+T260-T262</f>
        <v>-2325262.4482011758</v>
      </c>
      <c r="U264" s="13"/>
      <c r="V264" s="34">
        <f>IF(T$12=0,0,T264/T$12)</f>
        <v>-0.29803995773836861</v>
      </c>
      <c r="W264" s="16"/>
      <c r="X264" s="31">
        <f>P264-T264</f>
        <v>235457.79820117611</v>
      </c>
      <c r="Y264" s="16"/>
      <c r="Z264" s="34">
        <f>IF(T264=0,0,X264/T264)</f>
        <v>-0.10126074086102684</v>
      </c>
    </row>
    <row r="265" spans="1:26" ht="15.75" thickTop="1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x14ac:dyDescent="0.25">
      <c r="A266" s="52"/>
      <c r="B266" s="10" t="s">
        <v>2</v>
      </c>
      <c r="C266" s="10"/>
      <c r="D266" s="4">
        <f>--1068713.4</f>
        <v>1068713.3999999999</v>
      </c>
      <c r="E266" s="4"/>
      <c r="F266" s="12">
        <f t="shared" ref="F266:F267" si="154">IF(D$12=0,0,D266/D$12)</f>
        <v>2.7021368737161393</v>
      </c>
      <c r="G266" s="4"/>
      <c r="H266" s="4">
        <f t="shared" ref="H266:H267" si="155">--15000</f>
        <v>15000</v>
      </c>
      <c r="I266" s="4"/>
      <c r="J266" s="12">
        <f t="shared" ref="J266:J267" si="156">IF(H$12=0,0,H266/H$12)</f>
        <v>1.5415763131660895E-2</v>
      </c>
      <c r="K266" s="4"/>
      <c r="L266" s="4">
        <f t="shared" ref="L266:L267" si="157">+D266-H266</f>
        <v>1053713.3999999999</v>
      </c>
      <c r="M266" s="4"/>
      <c r="N266" s="12">
        <f t="shared" ref="N266:N267" si="158">IF(H266=0,0,L266/H266)</f>
        <v>70.247559999999993</v>
      </c>
      <c r="O266" s="10"/>
      <c r="P266" s="4">
        <f>--1649406.18</f>
        <v>1649406.18</v>
      </c>
      <c r="Q266" s="4"/>
      <c r="R266" s="12">
        <f t="shared" ref="R266:R267" si="159">IF(P$12=0,0,P266/P$12)</f>
        <v>0.35399660172261993</v>
      </c>
      <c r="S266" s="4"/>
      <c r="T266" s="4">
        <f t="shared" ref="T266:T267" si="160">--75000</f>
        <v>75000</v>
      </c>
      <c r="U266" s="4"/>
      <c r="V266" s="12">
        <f t="shared" ref="V266:V267" si="161">IF(T$12=0,0,T266/T$12)</f>
        <v>9.6131070484838984E-3</v>
      </c>
      <c r="W266" s="4"/>
      <c r="X266" s="4">
        <f t="shared" ref="X266:X267" si="162">+P266-T266</f>
        <v>1574406.18</v>
      </c>
      <c r="Y266" s="4"/>
      <c r="Z266" s="12">
        <f t="shared" ref="Z266:Z267" si="163">IF(T266=0,0,X266/T266)</f>
        <v>20.992082399999997</v>
      </c>
    </row>
    <row r="267" spans="1:26" s="23" customFormat="1" x14ac:dyDescent="0.25">
      <c r="A267" s="52"/>
      <c r="B267" s="10" t="s">
        <v>1</v>
      </c>
      <c r="C267" s="10"/>
      <c r="D267" s="4">
        <f>--16697.28</f>
        <v>16697.28</v>
      </c>
      <c r="E267" s="4"/>
      <c r="F267" s="12">
        <f t="shared" si="154"/>
        <v>4.2217432642617771E-2</v>
      </c>
      <c r="G267" s="4"/>
      <c r="H267" s="4">
        <f t="shared" si="155"/>
        <v>15000</v>
      </c>
      <c r="I267" s="4"/>
      <c r="J267" s="12">
        <f t="shared" si="156"/>
        <v>1.5415763131660895E-2</v>
      </c>
      <c r="K267" s="4"/>
      <c r="L267" s="4">
        <f t="shared" si="157"/>
        <v>1697.2799999999988</v>
      </c>
      <c r="M267" s="4"/>
      <c r="N267" s="12">
        <f t="shared" si="158"/>
        <v>0.11315199999999992</v>
      </c>
      <c r="O267" s="10"/>
      <c r="P267" s="4">
        <f>-6422.54</f>
        <v>-6422.54</v>
      </c>
      <c r="Q267" s="4"/>
      <c r="R267" s="12">
        <f t="shared" si="159"/>
        <v>-1.3784096131054847E-3</v>
      </c>
      <c r="S267" s="4"/>
      <c r="T267" s="4">
        <f t="shared" si="160"/>
        <v>75000</v>
      </c>
      <c r="U267" s="4"/>
      <c r="V267" s="12">
        <f t="shared" si="161"/>
        <v>9.6131070484838984E-3</v>
      </c>
      <c r="W267" s="4"/>
      <c r="X267" s="4">
        <f t="shared" si="162"/>
        <v>-81422.539999999994</v>
      </c>
      <c r="Y267" s="4"/>
      <c r="Z267" s="12">
        <f t="shared" si="163"/>
        <v>-1.0856338666666665</v>
      </c>
    </row>
    <row r="268" spans="1:26" x14ac:dyDescent="0.25">
      <c r="A268" s="9"/>
      <c r="B268" s="9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ht="15.75" thickBot="1" x14ac:dyDescent="0.3">
      <c r="A269" s="10"/>
      <c r="B269" s="25" t="s">
        <v>5</v>
      </c>
      <c r="C269" s="25"/>
      <c r="D269" s="33">
        <f>SUM(D264:D268)</f>
        <v>927444.10000000056</v>
      </c>
      <c r="E269" s="13"/>
      <c r="F269" s="30">
        <f>IF(D$12=0,0,D269/D$12)</f>
        <v>2.3449513227030558</v>
      </c>
      <c r="G269" s="13"/>
      <c r="H269" s="33">
        <f>SUM(H264:H268)</f>
        <v>-493282.18347677111</v>
      </c>
      <c r="I269" s="13"/>
      <c r="J269" s="30">
        <f>IF(H$12=0,0,H269/H$12)</f>
        <v>-0.50695475316975958</v>
      </c>
      <c r="K269" s="16"/>
      <c r="L269" s="33">
        <f>+D269-H269</f>
        <v>1420726.2834767718</v>
      </c>
      <c r="M269" s="16"/>
      <c r="N269" s="30">
        <f>IF(H269=0,0,L269/H269)</f>
        <v>-2.880149194651938</v>
      </c>
      <c r="O269" s="26"/>
      <c r="P269" s="33">
        <f>SUM(P264:P268)</f>
        <v>-446821.00999999972</v>
      </c>
      <c r="Q269" s="13"/>
      <c r="R269" s="30">
        <f>IF(P$12=0,0,P269/P$12)</f>
        <v>-9.5897008897025404E-2</v>
      </c>
      <c r="S269" s="13"/>
      <c r="T269" s="33">
        <f>SUM(T264:T268)</f>
        <v>-2175262.4482011758</v>
      </c>
      <c r="U269" s="13"/>
      <c r="V269" s="30">
        <f>IF(T$12=0,0,T269/T$12)</f>
        <v>-0.27881374364140082</v>
      </c>
      <c r="W269" s="16"/>
      <c r="X269" s="33">
        <f>+P269-T269</f>
        <v>1728441.438201176</v>
      </c>
      <c r="Y269" s="16"/>
      <c r="Z269" s="30">
        <f>IF(T269=0,0,X269/T269)</f>
        <v>-0.79458983886312362</v>
      </c>
    </row>
    <row r="270" spans="1:26" ht="15.75" thickTop="1" x14ac:dyDescent="0.25">
      <c r="A270" s="9"/>
      <c r="C270" s="9"/>
      <c r="D270" s="18"/>
      <c r="E270" s="18"/>
      <c r="G270" s="18"/>
      <c r="H270" s="18"/>
      <c r="I270" s="18"/>
      <c r="J270" s="43"/>
      <c r="K270" s="18"/>
      <c r="L270" s="18"/>
      <c r="M270" s="18"/>
      <c r="P270" s="18"/>
      <c r="Q270" s="18"/>
      <c r="R270" s="43"/>
      <c r="S270" s="18"/>
      <c r="T270" s="18"/>
      <c r="U270" s="18"/>
      <c r="V270" s="43"/>
      <c r="W270" s="18"/>
      <c r="X270" s="18"/>
    </row>
    <row r="271" spans="1:26" x14ac:dyDescent="0.25">
      <c r="A271" s="9"/>
      <c r="B271" s="55">
        <v>44174.678931331022</v>
      </c>
      <c r="D271" s="18"/>
      <c r="E271" s="18"/>
      <c r="G271" s="18"/>
      <c r="H271" s="18"/>
      <c r="I271" s="18"/>
      <c r="J271" s="43"/>
      <c r="K271" s="18"/>
      <c r="L271" s="18"/>
      <c r="M271" s="18"/>
      <c r="P271" s="18"/>
      <c r="Q271" s="18"/>
      <c r="R271" s="43"/>
      <c r="S271" s="18"/>
      <c r="T271" s="18"/>
      <c r="U271" s="18"/>
      <c r="V271" s="43"/>
      <c r="W271" s="18"/>
      <c r="X271" s="18"/>
    </row>
    <row r="272" spans="1:26" x14ac:dyDescent="0.25">
      <c r="A272" s="9"/>
      <c r="B272" s="57" t="s">
        <v>314</v>
      </c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25">
      <c r="A273" s="9"/>
      <c r="B273" s="63"/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25"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1">
        <f>+D22-D24</f>
        <v>0</v>
      </c>
      <c r="E26" s="13"/>
      <c r="F26" s="34">
        <f>IF(D$12=0,0,D26/D$12)</f>
        <v>0</v>
      </c>
      <c r="G26" s="13"/>
      <c r="H26" s="31">
        <f>+H22-H24</f>
        <v>0</v>
      </c>
      <c r="I26" s="13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6"/>
      <c r="P26" s="31">
        <f>+P22-P24</f>
        <v>0</v>
      </c>
      <c r="Q26" s="13"/>
      <c r="R26" s="34">
        <f>IF(P$12=0,0,P26/P$12)</f>
        <v>0</v>
      </c>
      <c r="S26" s="13"/>
      <c r="T26" s="31">
        <f>+T22-T24</f>
        <v>0</v>
      </c>
      <c r="U26" s="13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--1068713.4</f>
        <v>1068713.3999999999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1053713.3999999999</v>
      </c>
      <c r="M28" s="4"/>
      <c r="N28" s="12">
        <f t="shared" ref="N28:N29" si="4">IF(H28=0,0,L28/H28)</f>
        <v>70.247559999999993</v>
      </c>
      <c r="O28" s="10"/>
      <c r="P28" s="4">
        <f>--1649406.18</f>
        <v>1649406.18</v>
      </c>
      <c r="Q28" s="4"/>
      <c r="R28" s="12">
        <f t="shared" ref="R28:R29" si="5">IF(P$12=0,0,P28/P$12)</f>
        <v>0</v>
      </c>
      <c r="S28" s="4"/>
      <c r="T28" s="4">
        <f t="shared" ref="T28:T29" si="6">--75000</f>
        <v>75000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1574406.18</v>
      </c>
      <c r="Y28" s="4"/>
      <c r="Z28" s="12">
        <f t="shared" ref="Z28:Z29" si="9">IF(T28=0,0,X28/T28)</f>
        <v>20.992082399999997</v>
      </c>
    </row>
    <row r="29" spans="1:26" s="23" customFormat="1" x14ac:dyDescent="0.25">
      <c r="A29" s="52"/>
      <c r="B29" s="10" t="s">
        <v>1</v>
      </c>
      <c r="C29" s="10"/>
      <c r="D29" s="4">
        <f>--16697.28</f>
        <v>16697.28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1697.2799999999988</v>
      </c>
      <c r="M29" s="4"/>
      <c r="N29" s="12">
        <f t="shared" si="4"/>
        <v>0.11315199999999992</v>
      </c>
      <c r="O29" s="10"/>
      <c r="P29" s="4">
        <f>-6422.54</f>
        <v>-6422.54</v>
      </c>
      <c r="Q29" s="4"/>
      <c r="R29" s="12">
        <f t="shared" si="5"/>
        <v>0</v>
      </c>
      <c r="S29" s="4"/>
      <c r="T29" s="4">
        <f t="shared" si="6"/>
        <v>75000</v>
      </c>
      <c r="U29" s="4"/>
      <c r="V29" s="12">
        <f t="shared" si="7"/>
        <v>0</v>
      </c>
      <c r="W29" s="4"/>
      <c r="X29" s="4">
        <f t="shared" si="8"/>
        <v>-81422.539999999994</v>
      </c>
      <c r="Y29" s="4"/>
      <c r="Z29" s="12">
        <f t="shared" si="9"/>
        <v>-1.0856338666666665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SUM(D26:D30)</f>
        <v>1085410.68</v>
      </c>
      <c r="E31" s="13"/>
      <c r="F31" s="30">
        <f>IF(D$12=0,0,D31/D$12)</f>
        <v>0</v>
      </c>
      <c r="G31" s="13"/>
      <c r="H31" s="33">
        <f>SUM(H26:H30)</f>
        <v>30000</v>
      </c>
      <c r="I31" s="13"/>
      <c r="J31" s="30">
        <f>IF(H$12=0,0,H31/H$12)</f>
        <v>0</v>
      </c>
      <c r="K31" s="16"/>
      <c r="L31" s="33">
        <f>+D31-H31</f>
        <v>1055410.68</v>
      </c>
      <c r="M31" s="16"/>
      <c r="N31" s="30">
        <f>IF(H31=0,0,L31/H31)</f>
        <v>35.180355999999996</v>
      </c>
      <c r="O31" s="26"/>
      <c r="P31" s="33">
        <f>SUM(P26:P30)</f>
        <v>1642983.64</v>
      </c>
      <c r="Q31" s="13"/>
      <c r="R31" s="30">
        <f>IF(P$12=0,0,P31/P$12)</f>
        <v>0</v>
      </c>
      <c r="S31" s="13"/>
      <c r="T31" s="33">
        <f>SUM(T26:T30)</f>
        <v>150000</v>
      </c>
      <c r="U31" s="13"/>
      <c r="V31" s="30">
        <f>IF(T$12=0,0,T31/T$12)</f>
        <v>0</v>
      </c>
      <c r="W31" s="16"/>
      <c r="X31" s="33">
        <f>+P31-T31</f>
        <v>1492983.64</v>
      </c>
      <c r="Y31" s="16"/>
      <c r="Z31" s="30">
        <f>IF(T31=0,0,X31/T31)</f>
        <v>9.9532242666666662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5">
        <v>44174.679290972221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-183271.43000000002</v>
      </c>
      <c r="E19" s="19"/>
      <c r="F19" s="35">
        <f t="shared" ref="F19:F31" si="4">IF(D$12=0,0,D19/D$12)</f>
        <v>0</v>
      </c>
      <c r="G19" s="19"/>
      <c r="H19" s="19">
        <f>SUM(OSRRefH22x_0)</f>
        <v>272717.64046153845</v>
      </c>
      <c r="I19" s="19"/>
      <c r="J19" s="35">
        <f t="shared" ref="J19:J31" si="5">IF(H$12=0,0,H19/H$12)</f>
        <v>0</v>
      </c>
      <c r="K19" s="4"/>
      <c r="L19" s="19">
        <f t="shared" ref="L19:L31" si="6">+D19-H19</f>
        <v>-455989.0704615385</v>
      </c>
      <c r="M19" s="4"/>
      <c r="N19" s="35">
        <f t="shared" ref="N19:N31" si="7">IF(H19=0,0,L19/H19)</f>
        <v>-1.6720189779063703</v>
      </c>
      <c r="O19" s="10"/>
      <c r="P19" s="19">
        <f>SUM(OSRRefP22x_0)</f>
        <v>740376.26000000024</v>
      </c>
      <c r="Q19" s="19"/>
      <c r="R19" s="35">
        <f t="shared" ref="R19:R31" si="8">IF(P$12=0,0,P19/P$12)</f>
        <v>0</v>
      </c>
      <c r="S19" s="19"/>
      <c r="T19" s="19">
        <f>SUM(OSRRefT22x_0)</f>
        <v>1376012.7776846155</v>
      </c>
      <c r="U19" s="19"/>
      <c r="V19" s="35">
        <f t="shared" ref="V19:V31" si="9">IF(T$12=0,0,T19/T$12)</f>
        <v>0</v>
      </c>
      <c r="W19" s="4"/>
      <c r="X19" s="19">
        <f t="shared" ref="X19:X31" si="10">+P19-T19</f>
        <v>-635636.51768461522</v>
      </c>
      <c r="Y19" s="4"/>
      <c r="Z19" s="35">
        <f t="shared" ref="Z19:Z31" si="11">IF(T19=0,0,X19/T19)</f>
        <v>-0.46194085403348212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-312624.37000000005</v>
      </c>
      <c r="E20" s="1"/>
      <c r="F20" s="5">
        <f t="shared" si="4"/>
        <v>0</v>
      </c>
      <c r="G20" s="1"/>
      <c r="H20" s="1">
        <f>SUM(OSRRefH22_0x_0)</f>
        <v>77256.625076923083</v>
      </c>
      <c r="I20" s="1"/>
      <c r="J20" s="5">
        <f t="shared" si="5"/>
        <v>0</v>
      </c>
      <c r="K20" s="1"/>
      <c r="L20" s="1">
        <f t="shared" si="6"/>
        <v>-389880.99507692317</v>
      </c>
      <c r="M20" s="1"/>
      <c r="N20" s="5">
        <f t="shared" si="7"/>
        <v>-5.0465703710034626</v>
      </c>
      <c r="O20" s="14"/>
      <c r="P20" s="1">
        <f>SUM(OSRRefP22_0x_0)</f>
        <v>26954.540000000023</v>
      </c>
      <c r="Q20" s="1"/>
      <c r="R20" s="5">
        <f t="shared" si="8"/>
        <v>0</v>
      </c>
      <c r="S20" s="1"/>
      <c r="T20" s="1">
        <f>SUM(OSRRefT22_0x_0)</f>
        <v>401780.19306923077</v>
      </c>
      <c r="U20" s="1"/>
      <c r="V20" s="5">
        <f t="shared" si="9"/>
        <v>0</v>
      </c>
      <c r="W20" s="1"/>
      <c r="X20" s="1">
        <f t="shared" si="10"/>
        <v>-374825.65306923073</v>
      </c>
      <c r="Y20" s="1"/>
      <c r="Z20" s="5">
        <f t="shared" si="11"/>
        <v>-0.93291222298916188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6381.52</v>
      </c>
      <c r="E21" s="2"/>
      <c r="F21" s="7">
        <f t="shared" si="4"/>
        <v>0</v>
      </c>
      <c r="G21" s="2"/>
      <c r="H21" s="6">
        <v>6961.40427692308</v>
      </c>
      <c r="I21" s="2"/>
      <c r="J21" s="7">
        <f t="shared" si="5"/>
        <v>0</v>
      </c>
      <c r="K21" s="2"/>
      <c r="L21" s="6">
        <f t="shared" si="6"/>
        <v>-579.8842769230796</v>
      </c>
      <c r="M21" s="2"/>
      <c r="N21" s="7">
        <f t="shared" si="7"/>
        <v>-8.3299899539721417E-2</v>
      </c>
      <c r="O21" s="11"/>
      <c r="P21" s="6">
        <v>41858.07</v>
      </c>
      <c r="Q21" s="2"/>
      <c r="R21" s="7">
        <f t="shared" si="8"/>
        <v>0</v>
      </c>
      <c r="S21" s="2"/>
      <c r="T21" s="6">
        <v>38640.526823076943</v>
      </c>
      <c r="U21" s="2"/>
      <c r="V21" s="7">
        <f t="shared" si="9"/>
        <v>0</v>
      </c>
      <c r="W21" s="2"/>
      <c r="X21" s="6">
        <f t="shared" si="10"/>
        <v>3217.5431769230563</v>
      </c>
      <c r="Y21" s="2"/>
      <c r="Z21" s="7">
        <f t="shared" si="11"/>
        <v>8.3268615659801801E-2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1162.5899999999999</v>
      </c>
      <c r="E22" s="2"/>
      <c r="F22" s="7">
        <f t="shared" si="4"/>
        <v>0</v>
      </c>
      <c r="G22" s="2"/>
      <c r="H22" s="6">
        <v>606.721753846154</v>
      </c>
      <c r="I22" s="2"/>
      <c r="J22" s="7">
        <f t="shared" si="5"/>
        <v>0</v>
      </c>
      <c r="K22" s="2"/>
      <c r="L22" s="6">
        <f t="shared" si="6"/>
        <v>555.86824615384592</v>
      </c>
      <c r="M22" s="2"/>
      <c r="N22" s="7">
        <f t="shared" si="7"/>
        <v>0.91618314759618302</v>
      </c>
      <c r="O22" s="11"/>
      <c r="P22" s="6">
        <v>3544.43</v>
      </c>
      <c r="Q22" s="2"/>
      <c r="R22" s="7">
        <f t="shared" si="8"/>
        <v>0</v>
      </c>
      <c r="S22" s="2"/>
      <c r="T22" s="6">
        <v>3350.9946461538461</v>
      </c>
      <c r="U22" s="2"/>
      <c r="V22" s="7">
        <f t="shared" si="9"/>
        <v>0</v>
      </c>
      <c r="W22" s="2"/>
      <c r="X22" s="6">
        <f t="shared" si="10"/>
        <v>193.4353538461537</v>
      </c>
      <c r="Y22" s="2"/>
      <c r="Z22" s="7">
        <f t="shared" si="11"/>
        <v>5.7724757653126069E-2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23374.05</v>
      </c>
      <c r="E23" s="2"/>
      <c r="F23" s="7">
        <f t="shared" si="4"/>
        <v>0</v>
      </c>
      <c r="G23" s="2"/>
      <c r="H23" s="6">
        <v>20373.557692307699</v>
      </c>
      <c r="I23" s="2"/>
      <c r="J23" s="7">
        <f t="shared" si="5"/>
        <v>0</v>
      </c>
      <c r="K23" s="2"/>
      <c r="L23" s="6">
        <f t="shared" si="6"/>
        <v>3000.4923076923005</v>
      </c>
      <c r="M23" s="2"/>
      <c r="N23" s="7">
        <f t="shared" si="7"/>
        <v>0.14727385138164531</v>
      </c>
      <c r="O23" s="11"/>
      <c r="P23" s="6">
        <v>114725.89</v>
      </c>
      <c r="Q23" s="2"/>
      <c r="R23" s="7">
        <f t="shared" si="8"/>
        <v>0</v>
      </c>
      <c r="S23" s="2"/>
      <c r="T23" s="6">
        <v>106977.59615384617</v>
      </c>
      <c r="U23" s="2"/>
      <c r="V23" s="7">
        <f t="shared" si="9"/>
        <v>0</v>
      </c>
      <c r="W23" s="2"/>
      <c r="X23" s="6">
        <f t="shared" si="10"/>
        <v>7748.2938461538288</v>
      </c>
      <c r="Y23" s="2"/>
      <c r="Z23" s="7">
        <f t="shared" si="11"/>
        <v>7.2429126515526535E-2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554.75</v>
      </c>
      <c r="E24" s="2"/>
      <c r="F24" s="7">
        <f t="shared" si="4"/>
        <v>0</v>
      </c>
      <c r="G24" s="2"/>
      <c r="H24" s="6">
        <v>262.53519999999997</v>
      </c>
      <c r="I24" s="2"/>
      <c r="J24" s="7">
        <f t="shared" si="5"/>
        <v>0</v>
      </c>
      <c r="K24" s="2"/>
      <c r="L24" s="6">
        <f t="shared" si="6"/>
        <v>292.21480000000003</v>
      </c>
      <c r="M24" s="2"/>
      <c r="N24" s="7">
        <f t="shared" si="7"/>
        <v>1.1130499833927034</v>
      </c>
      <c r="O24" s="11"/>
      <c r="P24" s="6">
        <v>1570.72</v>
      </c>
      <c r="Q24" s="2"/>
      <c r="R24" s="7">
        <f t="shared" si="8"/>
        <v>0</v>
      </c>
      <c r="S24" s="2"/>
      <c r="T24" s="6">
        <v>1448.4416000000001</v>
      </c>
      <c r="U24" s="2"/>
      <c r="V24" s="7">
        <f t="shared" si="9"/>
        <v>0</v>
      </c>
      <c r="W24" s="2"/>
      <c r="X24" s="6">
        <f t="shared" si="10"/>
        <v>122.27839999999992</v>
      </c>
      <c r="Y24" s="2"/>
      <c r="Z24" s="7">
        <f t="shared" si="11"/>
        <v>8.4420662869666208E-2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14364.64</v>
      </c>
      <c r="E25" s="2"/>
      <c r="F25" s="7">
        <f t="shared" si="4"/>
        <v>0</v>
      </c>
      <c r="G25" s="2"/>
      <c r="H25" s="6">
        <v>5815.5846153846151</v>
      </c>
      <c r="I25" s="2"/>
      <c r="J25" s="7">
        <f t="shared" si="5"/>
        <v>0</v>
      </c>
      <c r="K25" s="2"/>
      <c r="L25" s="6">
        <f t="shared" si="6"/>
        <v>8549.0553846153853</v>
      </c>
      <c r="M25" s="2"/>
      <c r="N25" s="7">
        <f t="shared" si="7"/>
        <v>1.4700251049567081</v>
      </c>
      <c r="O25" s="11"/>
      <c r="P25" s="6">
        <v>47861.53</v>
      </c>
      <c r="Q25" s="2"/>
      <c r="R25" s="7">
        <f t="shared" si="8"/>
        <v>0</v>
      </c>
      <c r="S25" s="2"/>
      <c r="T25" s="6">
        <v>31985.715384615403</v>
      </c>
      <c r="U25" s="2"/>
      <c r="V25" s="7">
        <f t="shared" si="9"/>
        <v>0</v>
      </c>
      <c r="W25" s="2"/>
      <c r="X25" s="6">
        <f t="shared" si="10"/>
        <v>15875.814615384596</v>
      </c>
      <c r="Y25" s="2"/>
      <c r="Z25" s="7">
        <f t="shared" si="11"/>
        <v>0.49634077038716473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300</v>
      </c>
      <c r="I26" s="2"/>
      <c r="J26" s="7">
        <f t="shared" si="5"/>
        <v>0</v>
      </c>
      <c r="K26" s="2"/>
      <c r="L26" s="6">
        <f t="shared" si="6"/>
        <v>-300</v>
      </c>
      <c r="M26" s="2"/>
      <c r="N26" s="7">
        <f t="shared" si="7"/>
        <v>-1</v>
      </c>
      <c r="O26" s="11"/>
      <c r="P26" s="6"/>
      <c r="Q26" s="2"/>
      <c r="R26" s="7">
        <f t="shared" si="8"/>
        <v>0</v>
      </c>
      <c r="S26" s="2"/>
      <c r="T26" s="6">
        <v>1500</v>
      </c>
      <c r="U26" s="2"/>
      <c r="V26" s="7">
        <f t="shared" si="9"/>
        <v>0</v>
      </c>
      <c r="W26" s="2"/>
      <c r="X26" s="6">
        <f t="shared" si="10"/>
        <v>-1500</v>
      </c>
      <c r="Y26" s="2"/>
      <c r="Z26" s="7">
        <f t="shared" si="11"/>
        <v>-1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6">
        <v>749.92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749.92</v>
      </c>
      <c r="M27" s="2"/>
      <c r="N27" s="7">
        <f t="shared" si="7"/>
        <v>0</v>
      </c>
      <c r="O27" s="11"/>
      <c r="P27" s="6">
        <v>4167.4399999999996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4167.4399999999996</v>
      </c>
      <c r="Y27" s="2"/>
      <c r="Z27" s="7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>
        <v>5868.44</v>
      </c>
      <c r="E28" s="2"/>
      <c r="F28" s="7">
        <f t="shared" si="4"/>
        <v>0</v>
      </c>
      <c r="G28" s="2"/>
      <c r="H28" s="6">
        <v>4702.1538461538448</v>
      </c>
      <c r="I28" s="2"/>
      <c r="J28" s="7">
        <f t="shared" si="5"/>
        <v>0</v>
      </c>
      <c r="K28" s="2"/>
      <c r="L28" s="6">
        <f t="shared" si="6"/>
        <v>1166.2861538461548</v>
      </c>
      <c r="M28" s="2"/>
      <c r="N28" s="7">
        <f t="shared" si="7"/>
        <v>0.24803232561183117</v>
      </c>
      <c r="O28" s="11"/>
      <c r="P28" s="6">
        <v>33854.68</v>
      </c>
      <c r="Q28" s="2"/>
      <c r="R28" s="7">
        <f t="shared" si="8"/>
        <v>0</v>
      </c>
      <c r="S28" s="2"/>
      <c r="T28" s="6">
        <v>25889.346153846156</v>
      </c>
      <c r="U28" s="2"/>
      <c r="V28" s="7">
        <f t="shared" si="9"/>
        <v>0</v>
      </c>
      <c r="W28" s="2"/>
      <c r="X28" s="6">
        <f t="shared" si="10"/>
        <v>7965.3338461538442</v>
      </c>
      <c r="Y28" s="2"/>
      <c r="Z28" s="7">
        <f t="shared" si="11"/>
        <v>0.30766840532859513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>
        <v>4081.01</v>
      </c>
      <c r="E29" s="2"/>
      <c r="F29" s="7">
        <f t="shared" si="4"/>
        <v>0</v>
      </c>
      <c r="G29" s="2"/>
      <c r="H29" s="6">
        <v>3884.6676923076911</v>
      </c>
      <c r="I29" s="2"/>
      <c r="J29" s="7">
        <f t="shared" si="5"/>
        <v>0</v>
      </c>
      <c r="K29" s="2"/>
      <c r="L29" s="6">
        <f t="shared" si="6"/>
        <v>196.34230769230908</v>
      </c>
      <c r="M29" s="2"/>
      <c r="N29" s="7">
        <f t="shared" si="7"/>
        <v>5.054288377899107E-2</v>
      </c>
      <c r="O29" s="11"/>
      <c r="P29" s="6">
        <v>22794.26</v>
      </c>
      <c r="Q29" s="2"/>
      <c r="R29" s="7">
        <f t="shared" si="8"/>
        <v>0</v>
      </c>
      <c r="S29" s="2"/>
      <c r="T29" s="6">
        <v>21317.572307692299</v>
      </c>
      <c r="U29" s="2"/>
      <c r="V29" s="7">
        <f t="shared" si="9"/>
        <v>0</v>
      </c>
      <c r="W29" s="2"/>
      <c r="X29" s="6">
        <f t="shared" si="10"/>
        <v>1476.6876923076998</v>
      </c>
      <c r="Y29" s="2"/>
      <c r="Z29" s="7">
        <f t="shared" si="11"/>
        <v>6.9270912794082429E-2</v>
      </c>
    </row>
    <row r="30" spans="1:26" s="24" customFormat="1" hidden="1" outlineLevel="2" x14ac:dyDescent="0.25">
      <c r="A30" s="28"/>
      <c r="B30" s="11" t="str">
        <f>CONCATENATE("          ", "6120", " - ", "RETIREES HEALTH INSURANCE")</f>
        <v xml:space="preserve">          6120 - RETIREES HEALTH INSURANCE</v>
      </c>
      <c r="C30" s="11"/>
      <c r="D30" s="6">
        <v>-369662.33</v>
      </c>
      <c r="E30" s="2"/>
      <c r="F30" s="7">
        <f t="shared" si="4"/>
        <v>0</v>
      </c>
      <c r="G30" s="2"/>
      <c r="H30" s="6">
        <v>32000</v>
      </c>
      <c r="I30" s="2"/>
      <c r="J30" s="7">
        <f t="shared" si="5"/>
        <v>0</v>
      </c>
      <c r="K30" s="2"/>
      <c r="L30" s="6">
        <f t="shared" si="6"/>
        <v>-401662.33</v>
      </c>
      <c r="M30" s="2"/>
      <c r="N30" s="7">
        <f t="shared" si="7"/>
        <v>-12.5519478125</v>
      </c>
      <c r="O30" s="11"/>
      <c r="P30" s="6">
        <v>-247256.65</v>
      </c>
      <c r="Q30" s="2"/>
      <c r="R30" s="7">
        <f t="shared" si="8"/>
        <v>0</v>
      </c>
      <c r="S30" s="2"/>
      <c r="T30" s="6">
        <v>160000</v>
      </c>
      <c r="U30" s="2"/>
      <c r="V30" s="7">
        <f t="shared" si="9"/>
        <v>0</v>
      </c>
      <c r="W30" s="2"/>
      <c r="X30" s="6">
        <f t="shared" si="10"/>
        <v>-407256.65</v>
      </c>
      <c r="Y30" s="2"/>
      <c r="Z30" s="7">
        <f t="shared" si="11"/>
        <v>-2.5453540625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>
        <v>501.04</v>
      </c>
      <c r="E31" s="2"/>
      <c r="F31" s="7">
        <f t="shared" si="4"/>
        <v>0</v>
      </c>
      <c r="G31" s="2"/>
      <c r="H31" s="6">
        <v>2350</v>
      </c>
      <c r="I31" s="2"/>
      <c r="J31" s="7">
        <f t="shared" si="5"/>
        <v>0</v>
      </c>
      <c r="K31" s="2"/>
      <c r="L31" s="6">
        <f t="shared" si="6"/>
        <v>-1848.96</v>
      </c>
      <c r="M31" s="2"/>
      <c r="N31" s="7">
        <f t="shared" si="7"/>
        <v>-0.78679148936170218</v>
      </c>
      <c r="O31" s="11"/>
      <c r="P31" s="6">
        <v>3834.17</v>
      </c>
      <c r="Q31" s="2"/>
      <c r="R31" s="7">
        <f t="shared" si="8"/>
        <v>0</v>
      </c>
      <c r="S31" s="2"/>
      <c r="T31" s="6">
        <v>10670</v>
      </c>
      <c r="U31" s="2"/>
      <c r="V31" s="7">
        <f t="shared" si="9"/>
        <v>0</v>
      </c>
      <c r="W31" s="2"/>
      <c r="X31" s="6">
        <f t="shared" si="10"/>
        <v>-6835.83</v>
      </c>
      <c r="Y31" s="2"/>
      <c r="Z31" s="7">
        <f t="shared" si="11"/>
        <v>-0.64065885660731026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84394.29</v>
      </c>
      <c r="E32" s="1"/>
      <c r="F32" s="5">
        <f t="shared" ref="F32:F42" si="12">IF(D$12=0,0,D32/D$12)</f>
        <v>0</v>
      </c>
      <c r="G32" s="1"/>
      <c r="H32" s="1">
        <f>SUM(OSRRefH22_1x_0)</f>
        <v>92877.01538461537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-8482.7253846153762</v>
      </c>
      <c r="M32" s="1"/>
      <c r="N32" s="5">
        <f t="shared" ref="N32:N42" si="15">IF(H32=0,0,L32/H32)</f>
        <v>-9.1332880901559402E-2</v>
      </c>
      <c r="O32" s="14"/>
      <c r="P32" s="1">
        <f>SUM(OSRRefP22_1x_0)</f>
        <v>455946.59</v>
      </c>
      <c r="Q32" s="1"/>
      <c r="R32" s="5">
        <f t="shared" ref="R32:R42" si="16">IF(P$12=0,0,P32/P$12)</f>
        <v>0</v>
      </c>
      <c r="S32" s="1"/>
      <c r="T32" s="1">
        <f>SUM(OSRRefT22_1x_0)</f>
        <v>512498.58461538475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-56551.994615384727</v>
      </c>
      <c r="Y32" s="1"/>
      <c r="Z32" s="5">
        <f t="shared" ref="Z32:Z42" si="19">IF(T32=0,0,X32/T32)</f>
        <v>-0.11034566009157928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6">
        <v>22667.08</v>
      </c>
      <c r="E33" s="2"/>
      <c r="F33" s="7">
        <f t="shared" si="12"/>
        <v>0</v>
      </c>
      <c r="G33" s="2"/>
      <c r="H33" s="6">
        <v>27288.461538461499</v>
      </c>
      <c r="I33" s="2"/>
      <c r="J33" s="7">
        <f t="shared" si="13"/>
        <v>0</v>
      </c>
      <c r="K33" s="2"/>
      <c r="L33" s="6">
        <f t="shared" si="14"/>
        <v>-4621.3815384614973</v>
      </c>
      <c r="M33" s="2"/>
      <c r="N33" s="7">
        <f t="shared" si="15"/>
        <v>-0.1693529527836492</v>
      </c>
      <c r="O33" s="11"/>
      <c r="P33" s="6">
        <v>123941.58999999998</v>
      </c>
      <c r="Q33" s="2"/>
      <c r="R33" s="7">
        <f t="shared" si="16"/>
        <v>0</v>
      </c>
      <c r="S33" s="2"/>
      <c r="T33" s="6">
        <v>150086.53846153838</v>
      </c>
      <c r="U33" s="2"/>
      <c r="V33" s="7">
        <f t="shared" si="17"/>
        <v>0</v>
      </c>
      <c r="W33" s="2"/>
      <c r="X33" s="6">
        <f t="shared" si="18"/>
        <v>-26144.948461538399</v>
      </c>
      <c r="Y33" s="2"/>
      <c r="Z33" s="7">
        <f t="shared" si="19"/>
        <v>-0.17419915689666185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6">
        <v>41615.5</v>
      </c>
      <c r="E34" s="2"/>
      <c r="F34" s="7">
        <f t="shared" si="12"/>
        <v>0</v>
      </c>
      <c r="G34" s="2"/>
      <c r="H34" s="6">
        <v>34146.153846153873</v>
      </c>
      <c r="I34" s="2"/>
      <c r="J34" s="7">
        <f t="shared" si="13"/>
        <v>0</v>
      </c>
      <c r="K34" s="2"/>
      <c r="L34" s="6">
        <f t="shared" si="14"/>
        <v>7469.346153846127</v>
      </c>
      <c r="M34" s="2"/>
      <c r="N34" s="7">
        <f t="shared" si="15"/>
        <v>0.21874633926559942</v>
      </c>
      <c r="O34" s="11"/>
      <c r="P34" s="6">
        <v>244034.55000000002</v>
      </c>
      <c r="Q34" s="2"/>
      <c r="R34" s="7">
        <f t="shared" si="16"/>
        <v>0</v>
      </c>
      <c r="S34" s="2"/>
      <c r="T34" s="6">
        <v>187803.84615384633</v>
      </c>
      <c r="U34" s="2"/>
      <c r="V34" s="7">
        <f t="shared" si="17"/>
        <v>0</v>
      </c>
      <c r="W34" s="2"/>
      <c r="X34" s="6">
        <f t="shared" si="18"/>
        <v>56230.703846153687</v>
      </c>
      <c r="Y34" s="2"/>
      <c r="Z34" s="7">
        <f t="shared" si="19"/>
        <v>0.29941188637899496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>
        <v>14290.33</v>
      </c>
      <c r="E36" s="2"/>
      <c r="F36" s="7">
        <f t="shared" si="12"/>
        <v>0</v>
      </c>
      <c r="G36" s="2"/>
      <c r="H36" s="6">
        <v>20346.400000000001</v>
      </c>
      <c r="I36" s="2"/>
      <c r="J36" s="7">
        <f t="shared" si="13"/>
        <v>0</v>
      </c>
      <c r="K36" s="2"/>
      <c r="L36" s="6">
        <f t="shared" si="14"/>
        <v>-6056.0700000000015</v>
      </c>
      <c r="M36" s="2"/>
      <c r="N36" s="7">
        <f t="shared" si="15"/>
        <v>-0.29764823261117451</v>
      </c>
      <c r="O36" s="11"/>
      <c r="P36" s="6">
        <v>94373.62999999999</v>
      </c>
      <c r="Q36" s="2"/>
      <c r="R36" s="7">
        <f t="shared" si="16"/>
        <v>0</v>
      </c>
      <c r="S36" s="2"/>
      <c r="T36" s="6">
        <v>117400.2</v>
      </c>
      <c r="U36" s="2"/>
      <c r="V36" s="7">
        <f t="shared" si="17"/>
        <v>0</v>
      </c>
      <c r="W36" s="2"/>
      <c r="X36" s="6">
        <f t="shared" si="18"/>
        <v>-23026.570000000007</v>
      </c>
      <c r="Y36" s="2"/>
      <c r="Z36" s="7">
        <f t="shared" si="19"/>
        <v>-0.19613740010664382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>
        <v>4658.76</v>
      </c>
      <c r="E37" s="2"/>
      <c r="F37" s="7">
        <f t="shared" si="12"/>
        <v>0</v>
      </c>
      <c r="G37" s="2"/>
      <c r="H37" s="6">
        <v>7772</v>
      </c>
      <c r="I37" s="2"/>
      <c r="J37" s="7">
        <f t="shared" si="13"/>
        <v>0</v>
      </c>
      <c r="K37" s="2"/>
      <c r="L37" s="6">
        <f t="shared" si="14"/>
        <v>-3113.24</v>
      </c>
      <c r="M37" s="2"/>
      <c r="N37" s="7">
        <f t="shared" si="15"/>
        <v>-0.40057128152341737</v>
      </c>
      <c r="O37" s="11"/>
      <c r="P37" s="6">
        <v>31314.25</v>
      </c>
      <c r="Q37" s="2"/>
      <c r="R37" s="7">
        <f t="shared" si="16"/>
        <v>0</v>
      </c>
      <c r="S37" s="2"/>
      <c r="T37" s="6">
        <v>42746</v>
      </c>
      <c r="U37" s="2"/>
      <c r="V37" s="7">
        <f t="shared" si="17"/>
        <v>0</v>
      </c>
      <c r="W37" s="2"/>
      <c r="X37" s="6">
        <f t="shared" si="18"/>
        <v>-11431.75</v>
      </c>
      <c r="Y37" s="2"/>
      <c r="Z37" s="7">
        <f t="shared" si="19"/>
        <v>-0.26743437982501289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12"/>
        <v>0</v>
      </c>
      <c r="G39" s="2"/>
      <c r="H39" s="6">
        <v>1120</v>
      </c>
      <c r="I39" s="2"/>
      <c r="J39" s="7">
        <f t="shared" si="13"/>
        <v>0</v>
      </c>
      <c r="K39" s="2"/>
      <c r="L39" s="6">
        <f t="shared" si="14"/>
        <v>-1120</v>
      </c>
      <c r="M39" s="2"/>
      <c r="N39" s="7">
        <f t="shared" si="15"/>
        <v>-1</v>
      </c>
      <c r="O39" s="11"/>
      <c r="P39" s="6">
        <v>-44841.009999999995</v>
      </c>
      <c r="Q39" s="2"/>
      <c r="R39" s="7">
        <f t="shared" si="16"/>
        <v>0</v>
      </c>
      <c r="S39" s="2"/>
      <c r="T39" s="6">
        <v>5139</v>
      </c>
      <c r="U39" s="2"/>
      <c r="V39" s="7">
        <f t="shared" si="17"/>
        <v>0</v>
      </c>
      <c r="W39" s="2"/>
      <c r="X39" s="6">
        <f t="shared" si="18"/>
        <v>-49980.009999999995</v>
      </c>
      <c r="Y39" s="2"/>
      <c r="Z39" s="7">
        <f t="shared" si="19"/>
        <v>-9.7256294999027038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>
        <v>1162.6199999999999</v>
      </c>
      <c r="E40" s="2"/>
      <c r="F40" s="7">
        <f t="shared" si="12"/>
        <v>0</v>
      </c>
      <c r="G40" s="2"/>
      <c r="H40" s="6">
        <v>2204</v>
      </c>
      <c r="I40" s="2"/>
      <c r="J40" s="7">
        <f t="shared" si="13"/>
        <v>0</v>
      </c>
      <c r="K40" s="2"/>
      <c r="L40" s="6">
        <f t="shared" si="14"/>
        <v>-1041.3800000000001</v>
      </c>
      <c r="M40" s="2"/>
      <c r="N40" s="7">
        <f t="shared" si="15"/>
        <v>-0.47249546279491839</v>
      </c>
      <c r="O40" s="11"/>
      <c r="P40" s="6">
        <v>7123.58</v>
      </c>
      <c r="Q40" s="2"/>
      <c r="R40" s="7">
        <f t="shared" si="16"/>
        <v>0</v>
      </c>
      <c r="S40" s="2"/>
      <c r="T40" s="6">
        <v>9323</v>
      </c>
      <c r="U40" s="2"/>
      <c r="V40" s="7">
        <f t="shared" si="17"/>
        <v>0</v>
      </c>
      <c r="W40" s="2"/>
      <c r="X40" s="6">
        <f t="shared" si="18"/>
        <v>-2199.42</v>
      </c>
      <c r="Y40" s="2"/>
      <c r="Z40" s="7">
        <f t="shared" si="19"/>
        <v>-0.23591333261825592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9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-8909.7900000000009</v>
      </c>
      <c r="M43" s="1"/>
      <c r="N43" s="5">
        <f t="shared" ref="N43:N51" si="23">IF(H43=0,0,L43/H43)</f>
        <v>-0.98093030936915127</v>
      </c>
      <c r="O43" s="14"/>
      <c r="P43" s="1">
        <f>SUM(OSRRefP22_2x_0)</f>
        <v>759.64</v>
      </c>
      <c r="Q43" s="1"/>
      <c r="R43" s="5">
        <f t="shared" ref="R43:R51" si="24">IF(P$12=0,0,P43/P$12)</f>
        <v>0</v>
      </c>
      <c r="S43" s="1"/>
      <c r="T43" s="1">
        <f>SUM(OSRRefT22_2x_0)</f>
        <v>45515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-44755.360000000001</v>
      </c>
      <c r="Y43" s="1"/>
      <c r="Z43" s="5">
        <f t="shared" ref="Z43:Z51" si="27">IF(T43=0,0,X43/T43)</f>
        <v>-0.98331011754366693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6">
        <v>173.21</v>
      </c>
      <c r="E44" s="2"/>
      <c r="F44" s="7">
        <f t="shared" si="20"/>
        <v>0</v>
      </c>
      <c r="G44" s="2"/>
      <c r="H44" s="6">
        <v>9083</v>
      </c>
      <c r="I44" s="2"/>
      <c r="J44" s="7">
        <f t="shared" si="21"/>
        <v>0</v>
      </c>
      <c r="K44" s="2"/>
      <c r="L44" s="6">
        <f t="shared" si="22"/>
        <v>-8909.7900000000009</v>
      </c>
      <c r="M44" s="2"/>
      <c r="N44" s="7">
        <f t="shared" si="23"/>
        <v>-0.98093030936915127</v>
      </c>
      <c r="O44" s="11"/>
      <c r="P44" s="6">
        <v>759.64</v>
      </c>
      <c r="Q44" s="2"/>
      <c r="R44" s="7">
        <f t="shared" si="24"/>
        <v>0</v>
      </c>
      <c r="S44" s="2"/>
      <c r="T44" s="6">
        <v>45515</v>
      </c>
      <c r="U44" s="2"/>
      <c r="V44" s="7">
        <f t="shared" si="25"/>
        <v>0</v>
      </c>
      <c r="W44" s="2"/>
      <c r="X44" s="6">
        <f t="shared" si="26"/>
        <v>-44755.360000000001</v>
      </c>
      <c r="Y44" s="2"/>
      <c r="Z44" s="7">
        <f t="shared" si="27"/>
        <v>-0.98331011754366693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-13.34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-1013.34</v>
      </c>
      <c r="M45" s="1"/>
      <c r="N45" s="5">
        <f t="shared" si="23"/>
        <v>-1.0133400000000001</v>
      </c>
      <c r="O45" s="14"/>
      <c r="P45" s="1">
        <f>SUM(OSRRefP22_3x_0)</f>
        <v>2897.58</v>
      </c>
      <c r="Q45" s="1"/>
      <c r="R45" s="5">
        <f t="shared" si="24"/>
        <v>0</v>
      </c>
      <c r="S45" s="1"/>
      <c r="T45" s="1">
        <f>SUM(OSRRefT22_3x_0)</f>
        <v>34000</v>
      </c>
      <c r="U45" s="1"/>
      <c r="V45" s="5">
        <f t="shared" si="25"/>
        <v>0</v>
      </c>
      <c r="W45" s="1"/>
      <c r="X45" s="1">
        <f t="shared" si="26"/>
        <v>-31102.42</v>
      </c>
      <c r="Y45" s="1"/>
      <c r="Z45" s="5">
        <f t="shared" si="27"/>
        <v>-0.91477705882352933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-13.34</v>
      </c>
      <c r="E46" s="2"/>
      <c r="F46" s="7">
        <f t="shared" si="20"/>
        <v>0</v>
      </c>
      <c r="G46" s="2"/>
      <c r="H46" s="6">
        <v>1000</v>
      </c>
      <c r="I46" s="2"/>
      <c r="J46" s="7">
        <f t="shared" si="21"/>
        <v>0</v>
      </c>
      <c r="K46" s="2"/>
      <c r="L46" s="6">
        <f t="shared" si="22"/>
        <v>-1013.34</v>
      </c>
      <c r="M46" s="2"/>
      <c r="N46" s="7">
        <f t="shared" si="23"/>
        <v>-1.0133400000000001</v>
      </c>
      <c r="O46" s="11"/>
      <c r="P46" s="6">
        <v>2897.58</v>
      </c>
      <c r="Q46" s="2"/>
      <c r="R46" s="7">
        <f t="shared" si="24"/>
        <v>0</v>
      </c>
      <c r="S46" s="2"/>
      <c r="T46" s="6">
        <v>34000</v>
      </c>
      <c r="U46" s="2"/>
      <c r="V46" s="7">
        <f t="shared" si="25"/>
        <v>0</v>
      </c>
      <c r="W46" s="2"/>
      <c r="X46" s="6">
        <f t="shared" si="26"/>
        <v>-31102.42</v>
      </c>
      <c r="Y46" s="2"/>
      <c r="Z46" s="7">
        <f t="shared" si="27"/>
        <v>-0.91477705882352933</v>
      </c>
    </row>
    <row r="47" spans="1:26" s="29" customFormat="1" outlineLevel="1" collapsed="1" x14ac:dyDescent="0.25">
      <c r="A47" s="27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601.16</v>
      </c>
      <c r="E47" s="1"/>
      <c r="F47" s="5">
        <f t="shared" si="20"/>
        <v>0</v>
      </c>
      <c r="G47" s="1"/>
      <c r="H47" s="1">
        <f>SUM(OSRRefH22_4x_0)</f>
        <v>2337</v>
      </c>
      <c r="I47" s="1"/>
      <c r="J47" s="5">
        <f t="shared" si="21"/>
        <v>0</v>
      </c>
      <c r="K47" s="1"/>
      <c r="L47" s="1">
        <f t="shared" si="22"/>
        <v>-1735.8400000000001</v>
      </c>
      <c r="M47" s="1"/>
      <c r="N47" s="5">
        <f t="shared" si="23"/>
        <v>-0.74276422764227645</v>
      </c>
      <c r="O47" s="14"/>
      <c r="P47" s="1">
        <f>SUM(OSRRefP22_4x_0)</f>
        <v>7122.17</v>
      </c>
      <c r="Q47" s="1"/>
      <c r="R47" s="5">
        <f t="shared" si="24"/>
        <v>0</v>
      </c>
      <c r="S47" s="1"/>
      <c r="T47" s="1">
        <f>SUM(OSRRefT22_4x_0)</f>
        <v>11385</v>
      </c>
      <c r="U47" s="1"/>
      <c r="V47" s="5">
        <f t="shared" si="25"/>
        <v>0</v>
      </c>
      <c r="W47" s="1"/>
      <c r="X47" s="1">
        <f t="shared" si="26"/>
        <v>-4262.83</v>
      </c>
      <c r="Y47" s="1"/>
      <c r="Z47" s="5">
        <f t="shared" si="27"/>
        <v>-0.37442512077294687</v>
      </c>
    </row>
    <row r="48" spans="1:26" s="24" customFormat="1" hidden="1" outlineLevel="2" x14ac:dyDescent="0.25">
      <c r="A48" s="28"/>
      <c r="B48" s="11" t="str">
        <f>CONCATENATE("          ", "6397", " - ", "BOARD EXPENSES")</f>
        <v xml:space="preserve">          6397 - BOARD EXPENSES</v>
      </c>
      <c r="C48" s="11"/>
      <c r="D48" s="6">
        <v>601.16</v>
      </c>
      <c r="E48" s="2"/>
      <c r="F48" s="7">
        <f t="shared" si="20"/>
        <v>0</v>
      </c>
      <c r="G48" s="2"/>
      <c r="H48" s="6">
        <v>2337</v>
      </c>
      <c r="I48" s="2"/>
      <c r="J48" s="7">
        <f t="shared" si="21"/>
        <v>0</v>
      </c>
      <c r="K48" s="2"/>
      <c r="L48" s="6">
        <f t="shared" si="22"/>
        <v>-1735.8400000000001</v>
      </c>
      <c r="M48" s="2"/>
      <c r="N48" s="7">
        <f t="shared" si="23"/>
        <v>-0.74276422764227645</v>
      </c>
      <c r="O48" s="11"/>
      <c r="P48" s="6">
        <v>7122.17</v>
      </c>
      <c r="Q48" s="2"/>
      <c r="R48" s="7">
        <f t="shared" si="24"/>
        <v>0</v>
      </c>
      <c r="S48" s="2"/>
      <c r="T48" s="6">
        <v>11385</v>
      </c>
      <c r="U48" s="2"/>
      <c r="V48" s="7">
        <f t="shared" si="25"/>
        <v>0</v>
      </c>
      <c r="W48" s="2"/>
      <c r="X48" s="6">
        <f t="shared" si="26"/>
        <v>-4262.83</v>
      </c>
      <c r="Y48" s="2"/>
      <c r="Z48" s="7">
        <f t="shared" si="27"/>
        <v>-0.37442512077294687</v>
      </c>
    </row>
    <row r="49" spans="1:26" s="29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7222.15</v>
      </c>
      <c r="E49" s="1"/>
      <c r="F49" s="5">
        <f t="shared" si="20"/>
        <v>0</v>
      </c>
      <c r="G49" s="1"/>
      <c r="H49" s="1">
        <f>SUM(OSRRefH22_5x_0)</f>
        <v>7222</v>
      </c>
      <c r="I49" s="1"/>
      <c r="J49" s="5">
        <f t="shared" si="21"/>
        <v>0</v>
      </c>
      <c r="K49" s="1"/>
      <c r="L49" s="1">
        <f t="shared" si="22"/>
        <v>0.1499999999996362</v>
      </c>
      <c r="M49" s="1"/>
      <c r="N49" s="5">
        <f t="shared" si="23"/>
        <v>2.0769869842098615E-5</v>
      </c>
      <c r="O49" s="14"/>
      <c r="P49" s="1">
        <f>SUM(OSRRefP22_5x_0)</f>
        <v>37265.769999999997</v>
      </c>
      <c r="Q49" s="1"/>
      <c r="R49" s="5">
        <f t="shared" si="24"/>
        <v>0</v>
      </c>
      <c r="S49" s="1"/>
      <c r="T49" s="1">
        <f>SUM(OSRRefT22_5x_0)</f>
        <v>32003</v>
      </c>
      <c r="U49" s="1"/>
      <c r="V49" s="5">
        <f t="shared" si="25"/>
        <v>0</v>
      </c>
      <c r="W49" s="1"/>
      <c r="X49" s="1">
        <f t="shared" si="26"/>
        <v>5262.7699999999968</v>
      </c>
      <c r="Y49" s="1"/>
      <c r="Z49" s="5">
        <f t="shared" si="27"/>
        <v>0.16444614567384297</v>
      </c>
    </row>
    <row r="50" spans="1:26" s="24" customFormat="1" hidden="1" outlineLevel="2" x14ac:dyDescent="0.25">
      <c r="A50" s="28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7222.15</v>
      </c>
      <c r="E50" s="2"/>
      <c r="F50" s="7">
        <f t="shared" si="20"/>
        <v>0</v>
      </c>
      <c r="G50" s="2"/>
      <c r="H50" s="6">
        <v>7222</v>
      </c>
      <c r="I50" s="2"/>
      <c r="J50" s="7">
        <f t="shared" si="21"/>
        <v>0</v>
      </c>
      <c r="K50" s="2"/>
      <c r="L50" s="6">
        <f t="shared" si="22"/>
        <v>0.1499999999996362</v>
      </c>
      <c r="M50" s="2"/>
      <c r="N50" s="7">
        <f t="shared" si="23"/>
        <v>2.0769869842098615E-5</v>
      </c>
      <c r="O50" s="11"/>
      <c r="P50" s="6">
        <v>37265.769999999997</v>
      </c>
      <c r="Q50" s="2"/>
      <c r="R50" s="7">
        <f t="shared" si="24"/>
        <v>0</v>
      </c>
      <c r="S50" s="2"/>
      <c r="T50" s="6">
        <v>31903</v>
      </c>
      <c r="U50" s="2"/>
      <c r="V50" s="7">
        <f t="shared" si="25"/>
        <v>0</v>
      </c>
      <c r="W50" s="2"/>
      <c r="X50" s="6">
        <f t="shared" si="26"/>
        <v>5362.7699999999968</v>
      </c>
      <c r="Y50" s="2"/>
      <c r="Z50" s="7">
        <f t="shared" si="27"/>
        <v>0.16809610381468817</v>
      </c>
    </row>
    <row r="51" spans="1:26" s="24" customFormat="1" hidden="1" outlineLevel="2" x14ac:dyDescent="0.25">
      <c r="A51" s="28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/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0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9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0" si="28">IF(D$12=0,0,D52/D$12)</f>
        <v>0</v>
      </c>
      <c r="G52" s="1"/>
      <c r="H52" s="1">
        <f>SUM(OSRRefH22_6x_0)</f>
        <v>2750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-2750</v>
      </c>
      <c r="M52" s="1"/>
      <c r="N52" s="5">
        <f t="shared" ref="N52:N60" si="31">IF(H52=0,0,L52/H52)</f>
        <v>-1</v>
      </c>
      <c r="O52" s="14"/>
      <c r="P52" s="1">
        <f>SUM(OSRRefP22_6x_0)</f>
        <v>25000</v>
      </c>
      <c r="Q52" s="1"/>
      <c r="R52" s="5">
        <f t="shared" ref="R52:R60" si="32">IF(P$12=0,0,P52/P$12)</f>
        <v>0</v>
      </c>
      <c r="S52" s="1"/>
      <c r="T52" s="1">
        <f>SUM(OSRRefT22_6x_0)</f>
        <v>34250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-9250</v>
      </c>
      <c r="Y52" s="1"/>
      <c r="Z52" s="5">
        <f t="shared" ref="Z52:Z60" si="35">IF(T52=0,0,X52/T52)</f>
        <v>-0.27007299270072993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28"/>
        <v>0</v>
      </c>
      <c r="G53" s="2"/>
      <c r="H53" s="6">
        <v>2750</v>
      </c>
      <c r="I53" s="2"/>
      <c r="J53" s="7">
        <f t="shared" si="29"/>
        <v>0</v>
      </c>
      <c r="K53" s="2"/>
      <c r="L53" s="6">
        <f t="shared" si="30"/>
        <v>-2750</v>
      </c>
      <c r="M53" s="2"/>
      <c r="N53" s="7">
        <f t="shared" si="31"/>
        <v>-1</v>
      </c>
      <c r="O53" s="11"/>
      <c r="P53" s="6">
        <v>25000</v>
      </c>
      <c r="Q53" s="2"/>
      <c r="R53" s="7">
        <f t="shared" si="32"/>
        <v>0</v>
      </c>
      <c r="S53" s="2"/>
      <c r="T53" s="6">
        <v>34250</v>
      </c>
      <c r="U53" s="2"/>
      <c r="V53" s="7">
        <f t="shared" si="33"/>
        <v>0</v>
      </c>
      <c r="W53" s="2"/>
      <c r="X53" s="6">
        <f t="shared" si="34"/>
        <v>-9250</v>
      </c>
      <c r="Y53" s="2"/>
      <c r="Z53" s="7">
        <f t="shared" si="35"/>
        <v>-0.27007299270072993</v>
      </c>
    </row>
    <row r="54" spans="1:26" s="29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1500</v>
      </c>
      <c r="U54" s="1"/>
      <c r="V54" s="5">
        <f t="shared" si="33"/>
        <v>0</v>
      </c>
      <c r="W54" s="1"/>
      <c r="X54" s="1">
        <f t="shared" si="34"/>
        <v>-1418.44</v>
      </c>
      <c r="Y54" s="1"/>
      <c r="Z54" s="5">
        <f t="shared" si="35"/>
        <v>-0.94562666666666673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0</v>
      </c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81.56</v>
      </c>
      <c r="Q55" s="2"/>
      <c r="R55" s="7">
        <f t="shared" si="32"/>
        <v>0</v>
      </c>
      <c r="S55" s="2"/>
      <c r="T55" s="6">
        <v>1500</v>
      </c>
      <c r="U55" s="2"/>
      <c r="V55" s="7">
        <f t="shared" si="33"/>
        <v>0</v>
      </c>
      <c r="W55" s="2"/>
      <c r="X55" s="6">
        <f t="shared" si="34"/>
        <v>-1418.44</v>
      </c>
      <c r="Y55" s="2"/>
      <c r="Z55" s="7">
        <f t="shared" si="35"/>
        <v>-0.94562666666666673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1044.8499999999999</v>
      </c>
      <c r="Q56" s="1"/>
      <c r="R56" s="5">
        <f t="shared" si="32"/>
        <v>0</v>
      </c>
      <c r="S56" s="1"/>
      <c r="T56" s="1">
        <f>SUM(OSRRefT22_8x_0)</f>
        <v>1373</v>
      </c>
      <c r="U56" s="1"/>
      <c r="V56" s="5">
        <f t="shared" si="33"/>
        <v>0</v>
      </c>
      <c r="W56" s="1"/>
      <c r="X56" s="1">
        <f t="shared" si="34"/>
        <v>-328.15000000000009</v>
      </c>
      <c r="Y56" s="1"/>
      <c r="Z56" s="5">
        <f t="shared" si="35"/>
        <v>-0.23900218499635842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>
        <v>208.97</v>
      </c>
      <c r="E57" s="2"/>
      <c r="F57" s="7">
        <f t="shared" si="28"/>
        <v>0</v>
      </c>
      <c r="G57" s="2"/>
      <c r="H57" s="6">
        <v>291</v>
      </c>
      <c r="I57" s="2"/>
      <c r="J57" s="7">
        <f t="shared" si="29"/>
        <v>0</v>
      </c>
      <c r="K57" s="2"/>
      <c r="L57" s="6">
        <f t="shared" si="30"/>
        <v>-82.03</v>
      </c>
      <c r="M57" s="2"/>
      <c r="N57" s="7">
        <f t="shared" si="31"/>
        <v>-0.28189003436426119</v>
      </c>
      <c r="O57" s="11"/>
      <c r="P57" s="6">
        <v>1044.8499999999999</v>
      </c>
      <c r="Q57" s="2"/>
      <c r="R57" s="7">
        <f t="shared" si="32"/>
        <v>0</v>
      </c>
      <c r="S57" s="2"/>
      <c r="T57" s="6">
        <v>1373</v>
      </c>
      <c r="U57" s="2"/>
      <c r="V57" s="7">
        <f t="shared" si="33"/>
        <v>0</v>
      </c>
      <c r="W57" s="2"/>
      <c r="X57" s="6">
        <f t="shared" si="34"/>
        <v>-328.15000000000009</v>
      </c>
      <c r="Y57" s="2"/>
      <c r="Z57" s="7">
        <f t="shared" si="35"/>
        <v>-0.23900218499635842</v>
      </c>
    </row>
    <row r="58" spans="1:26" s="29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86.7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-111.3</v>
      </c>
      <c r="M58" s="1"/>
      <c r="N58" s="5">
        <f t="shared" si="31"/>
        <v>-0.56212121212121213</v>
      </c>
      <c r="O58" s="14"/>
      <c r="P58" s="1">
        <f>SUM(OSRRefP22_9x_0)</f>
        <v>683.67</v>
      </c>
      <c r="Q58" s="1"/>
      <c r="R58" s="5">
        <f t="shared" si="32"/>
        <v>0</v>
      </c>
      <c r="S58" s="1"/>
      <c r="T58" s="1">
        <f>SUM(OSRRefT22_9x_0)</f>
        <v>990</v>
      </c>
      <c r="U58" s="1"/>
      <c r="V58" s="5">
        <f t="shared" si="33"/>
        <v>0</v>
      </c>
      <c r="W58" s="1"/>
      <c r="X58" s="1">
        <f t="shared" si="34"/>
        <v>-306.33000000000004</v>
      </c>
      <c r="Y58" s="1"/>
      <c r="Z58" s="5">
        <f t="shared" si="35"/>
        <v>-0.30942424242424249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5.41</v>
      </c>
      <c r="Q59" s="2"/>
      <c r="R59" s="7">
        <f t="shared" si="32"/>
        <v>0</v>
      </c>
      <c r="S59" s="2"/>
      <c r="T59" s="6"/>
      <c r="U59" s="2"/>
      <c r="V59" s="7">
        <f t="shared" si="33"/>
        <v>0</v>
      </c>
      <c r="W59" s="2"/>
      <c r="X59" s="6">
        <f t="shared" si="34"/>
        <v>5.41</v>
      </c>
      <c r="Y59" s="2"/>
      <c r="Z59" s="7">
        <f t="shared" si="35"/>
        <v>0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6">
        <v>86.7</v>
      </c>
      <c r="E60" s="2"/>
      <c r="F60" s="7">
        <f t="shared" si="28"/>
        <v>0</v>
      </c>
      <c r="G60" s="2"/>
      <c r="H60" s="6">
        <v>198</v>
      </c>
      <c r="I60" s="2"/>
      <c r="J60" s="7">
        <f t="shared" si="29"/>
        <v>0</v>
      </c>
      <c r="K60" s="2"/>
      <c r="L60" s="6">
        <f t="shared" si="30"/>
        <v>-111.3</v>
      </c>
      <c r="M60" s="2"/>
      <c r="N60" s="7">
        <f t="shared" si="31"/>
        <v>-0.56212121212121213</v>
      </c>
      <c r="O60" s="11"/>
      <c r="P60" s="6">
        <v>678.26</v>
      </c>
      <c r="Q60" s="2"/>
      <c r="R60" s="7">
        <f t="shared" si="32"/>
        <v>0</v>
      </c>
      <c r="S60" s="2"/>
      <c r="T60" s="6">
        <v>990</v>
      </c>
      <c r="U60" s="2"/>
      <c r="V60" s="7">
        <f t="shared" si="33"/>
        <v>0</v>
      </c>
      <c r="W60" s="2"/>
      <c r="X60" s="6">
        <f t="shared" si="34"/>
        <v>-311.74</v>
      </c>
      <c r="Y60" s="2"/>
      <c r="Z60" s="7">
        <f t="shared" si="35"/>
        <v>-0.31488888888888888</v>
      </c>
    </row>
    <row r="61" spans="1:26" s="29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0</v>
      </c>
      <c r="E61" s="1"/>
      <c r="F61" s="5">
        <f t="shared" ref="F61:F65" si="36">IF(D$12=0,0,D61/D$12)</f>
        <v>0</v>
      </c>
      <c r="G61" s="1"/>
      <c r="H61" s="1">
        <f>SUM(OSRRefH22_10x_0)</f>
        <v>183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-183</v>
      </c>
      <c r="M61" s="1"/>
      <c r="N61" s="5">
        <f t="shared" ref="N61:N65" si="39">IF(H61=0,0,L61/H61)</f>
        <v>-1</v>
      </c>
      <c r="O61" s="14"/>
      <c r="P61" s="1">
        <f>SUM(OSRRefP22_10x_0)</f>
        <v>166.54</v>
      </c>
      <c r="Q61" s="1"/>
      <c r="R61" s="5">
        <f t="shared" ref="R61:R65" si="40">IF(P$12=0,0,P61/P$12)</f>
        <v>0</v>
      </c>
      <c r="S61" s="1"/>
      <c r="T61" s="1">
        <f>SUM(OSRRefT22_10x_0)</f>
        <v>2215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-2048.46</v>
      </c>
      <c r="Y61" s="1"/>
      <c r="Z61" s="5">
        <f t="shared" ref="Z61:Z65" si="43">IF(T61=0,0,X61/T61)</f>
        <v>-0.92481264108352146</v>
      </c>
    </row>
    <row r="62" spans="1:26" s="24" customFormat="1" hidden="1" outlineLevel="2" x14ac:dyDescent="0.25">
      <c r="A62" s="28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183</v>
      </c>
      <c r="I62" s="2"/>
      <c r="J62" s="7">
        <f t="shared" si="37"/>
        <v>0</v>
      </c>
      <c r="K62" s="2"/>
      <c r="L62" s="6">
        <f t="shared" si="38"/>
        <v>-183</v>
      </c>
      <c r="M62" s="2"/>
      <c r="N62" s="7">
        <f t="shared" si="39"/>
        <v>-1</v>
      </c>
      <c r="O62" s="11"/>
      <c r="P62" s="6">
        <v>166.54</v>
      </c>
      <c r="Q62" s="2"/>
      <c r="R62" s="7">
        <f t="shared" si="40"/>
        <v>0</v>
      </c>
      <c r="S62" s="2"/>
      <c r="T62" s="6">
        <v>2215</v>
      </c>
      <c r="U62" s="2"/>
      <c r="V62" s="7">
        <f t="shared" si="41"/>
        <v>0</v>
      </c>
      <c r="W62" s="2"/>
      <c r="X62" s="6">
        <f t="shared" si="42"/>
        <v>-2048.46</v>
      </c>
      <c r="Y62" s="2"/>
      <c r="Z62" s="7">
        <f t="shared" si="43"/>
        <v>-0.92481264108352146</v>
      </c>
    </row>
    <row r="63" spans="1:26" s="29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1968.35</v>
      </c>
      <c r="Q63" s="1"/>
      <c r="R63" s="5">
        <f t="shared" si="40"/>
        <v>0</v>
      </c>
      <c r="S63" s="1"/>
      <c r="T63" s="1">
        <f>SUM(OSRRefT22_11x_0)</f>
        <v>3479</v>
      </c>
      <c r="U63" s="1"/>
      <c r="V63" s="5">
        <f t="shared" si="41"/>
        <v>0</v>
      </c>
      <c r="W63" s="1"/>
      <c r="X63" s="1">
        <f t="shared" si="42"/>
        <v>-1510.65</v>
      </c>
      <c r="Y63" s="1"/>
      <c r="Z63" s="5">
        <f t="shared" si="43"/>
        <v>-0.43421960333429149</v>
      </c>
    </row>
    <row r="64" spans="1:26" s="24" customFormat="1" hidden="1" outlineLevel="2" x14ac:dyDescent="0.25">
      <c r="A64" s="28"/>
      <c r="B64" s="11" t="str">
        <f>CONCATENATE("          ", "6312", " - ", "FIRE &amp; THEFT INSURANCE")</f>
        <v xml:space="preserve">          6312 - FIRE &amp; THEFT INSURANCE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780</v>
      </c>
      <c r="U64" s="2"/>
      <c r="V64" s="7">
        <f t="shared" si="41"/>
        <v>0</v>
      </c>
      <c r="W64" s="2"/>
      <c r="X64" s="6">
        <f t="shared" si="42"/>
        <v>-780</v>
      </c>
      <c r="Y64" s="2"/>
      <c r="Z64" s="7">
        <f t="shared" si="43"/>
        <v>-1</v>
      </c>
    </row>
    <row r="65" spans="1:26" s="24" customFormat="1" hidden="1" outlineLevel="2" x14ac:dyDescent="0.25">
      <c r="A65" s="28"/>
      <c r="B65" s="11" t="str">
        <f>CONCATENATE("          ", "6314", " - ", "LIABILITY INSURANCE")</f>
        <v xml:space="preserve">          6314 - LIABILITY INSURANCE</v>
      </c>
      <c r="C65" s="11"/>
      <c r="D65" s="6">
        <v>393.67</v>
      </c>
      <c r="E65" s="2"/>
      <c r="F65" s="7">
        <f t="shared" si="36"/>
        <v>0</v>
      </c>
      <c r="G65" s="2"/>
      <c r="H65" s="6">
        <v>432</v>
      </c>
      <c r="I65" s="2"/>
      <c r="J65" s="7">
        <f t="shared" si="37"/>
        <v>0</v>
      </c>
      <c r="K65" s="2"/>
      <c r="L65" s="6">
        <f t="shared" si="38"/>
        <v>-38.329999999999984</v>
      </c>
      <c r="M65" s="2"/>
      <c r="N65" s="7">
        <f t="shared" si="39"/>
        <v>-8.8726851851851821E-2</v>
      </c>
      <c r="O65" s="11"/>
      <c r="P65" s="6">
        <v>1968.35</v>
      </c>
      <c r="Q65" s="2"/>
      <c r="R65" s="7">
        <f t="shared" si="40"/>
        <v>0</v>
      </c>
      <c r="S65" s="2"/>
      <c r="T65" s="6">
        <v>2699</v>
      </c>
      <c r="U65" s="2"/>
      <c r="V65" s="7">
        <f t="shared" si="41"/>
        <v>0</v>
      </c>
      <c r="W65" s="2"/>
      <c r="X65" s="6">
        <f t="shared" si="42"/>
        <v>-730.65000000000009</v>
      </c>
      <c r="Y65" s="2"/>
      <c r="Z65" s="7">
        <f t="shared" si="43"/>
        <v>-0.27071137458317901</v>
      </c>
    </row>
    <row r="66" spans="1:26" s="29" customFormat="1" outlineLevel="1" collapsed="1" x14ac:dyDescent="0.25">
      <c r="A66" s="27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11115.750000000002</v>
      </c>
      <c r="E66" s="1"/>
      <c r="F66" s="5">
        <f t="shared" ref="F66:F70" si="44">IF(D$12=0,0,D66/D$12)</f>
        <v>0</v>
      </c>
      <c r="G66" s="1"/>
      <c r="H66" s="1">
        <f>SUM(OSRRefH22_12x_0)</f>
        <v>42833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-31717.25</v>
      </c>
      <c r="M66" s="1"/>
      <c r="N66" s="5">
        <f t="shared" ref="N66:N70" si="47">IF(H66=0,0,L66/H66)</f>
        <v>-0.74048630728643805</v>
      </c>
      <c r="O66" s="14"/>
      <c r="P66" s="1">
        <f>SUM(OSRRefP22_12x_0)</f>
        <v>64888.46</v>
      </c>
      <c r="Q66" s="1"/>
      <c r="R66" s="5">
        <f t="shared" ref="R66:R70" si="48">IF(P$12=0,0,P66/P$12)</f>
        <v>0</v>
      </c>
      <c r="S66" s="1"/>
      <c r="T66" s="1">
        <f>SUM(OSRRefT22_12x_0)</f>
        <v>107665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-42776.54</v>
      </c>
      <c r="Y66" s="1"/>
      <c r="Z66" s="5">
        <f t="shared" ref="Z66:Z70" si="51">IF(T66=0,0,X66/T66)</f>
        <v>-0.39731147540983608</v>
      </c>
    </row>
    <row r="67" spans="1:26" s="24" customFormat="1" hidden="1" outlineLevel="2" x14ac:dyDescent="0.25">
      <c r="A67" s="28"/>
      <c r="B67" s="11" t="str">
        <f>CONCATENATE("          ", "6331", " - ", "INDIRECT COSTS-AUXILIARY ORGAN")</f>
        <v xml:space="preserve">          6331 - INDIRECT COSTS-AUXILIARY ORGAN</v>
      </c>
      <c r="C67" s="11"/>
      <c r="D67" s="6">
        <v>9725</v>
      </c>
      <c r="E67" s="2"/>
      <c r="F67" s="7">
        <f t="shared" si="44"/>
        <v>0</v>
      </c>
      <c r="G67" s="2"/>
      <c r="H67" s="6">
        <v>19000</v>
      </c>
      <c r="I67" s="2"/>
      <c r="J67" s="7">
        <f t="shared" si="45"/>
        <v>0</v>
      </c>
      <c r="K67" s="2"/>
      <c r="L67" s="6">
        <f t="shared" si="46"/>
        <v>-9275</v>
      </c>
      <c r="M67" s="2"/>
      <c r="N67" s="7">
        <f t="shared" si="47"/>
        <v>-0.48815789473684212</v>
      </c>
      <c r="O67" s="11"/>
      <c r="P67" s="6">
        <v>56396.5</v>
      </c>
      <c r="Q67" s="2"/>
      <c r="R67" s="7">
        <f t="shared" si="48"/>
        <v>0</v>
      </c>
      <c r="S67" s="2"/>
      <c r="T67" s="6">
        <v>73000</v>
      </c>
      <c r="U67" s="2"/>
      <c r="V67" s="7">
        <f t="shared" si="49"/>
        <v>0</v>
      </c>
      <c r="W67" s="2"/>
      <c r="X67" s="6">
        <f t="shared" si="50"/>
        <v>-16603.5</v>
      </c>
      <c r="Y67" s="2"/>
      <c r="Z67" s="7">
        <f t="shared" si="51"/>
        <v>-0.22744520547945205</v>
      </c>
    </row>
    <row r="68" spans="1:26" s="24" customFormat="1" hidden="1" outlineLevel="2" x14ac:dyDescent="0.25">
      <c r="A68" s="28"/>
      <c r="B68" s="11" t="str">
        <f>CONCATENATE("          ", "6332", " - ", "CONSULTANT FEES")</f>
        <v xml:space="preserve">          6332 - CONSULTANT FEES</v>
      </c>
      <c r="C68" s="11"/>
      <c r="D68" s="6"/>
      <c r="E68" s="2"/>
      <c r="F68" s="7">
        <f t="shared" si="44"/>
        <v>0</v>
      </c>
      <c r="G68" s="2"/>
      <c r="H68" s="6">
        <v>15250</v>
      </c>
      <c r="I68" s="2"/>
      <c r="J68" s="7">
        <f t="shared" si="45"/>
        <v>0</v>
      </c>
      <c r="K68" s="2"/>
      <c r="L68" s="6">
        <f t="shared" si="46"/>
        <v>-15250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16250</v>
      </c>
      <c r="U68" s="2"/>
      <c r="V68" s="7">
        <f t="shared" si="49"/>
        <v>0</v>
      </c>
      <c r="W68" s="2"/>
      <c r="X68" s="6">
        <f t="shared" si="50"/>
        <v>-16250</v>
      </c>
      <c r="Y68" s="2"/>
      <c r="Z68" s="7">
        <f t="shared" si="51"/>
        <v>-1</v>
      </c>
    </row>
    <row r="69" spans="1:26" s="24" customFormat="1" hidden="1" outlineLevel="2" x14ac:dyDescent="0.25">
      <c r="A69" s="28"/>
      <c r="B69" s="11" t="str">
        <f>CONCATENATE("          ", "6334", " - ", "LEGAL COUNCIL EXPENSE")</f>
        <v xml:space="preserve">          6334 - LEGAL COUNCIL EXPENSE</v>
      </c>
      <c r="C69" s="11"/>
      <c r="D69" s="6">
        <v>1259.3800000000001</v>
      </c>
      <c r="E69" s="2"/>
      <c r="F69" s="7">
        <f t="shared" si="44"/>
        <v>0</v>
      </c>
      <c r="G69" s="2"/>
      <c r="H69" s="6">
        <v>2333</v>
      </c>
      <c r="I69" s="2"/>
      <c r="J69" s="7">
        <f t="shared" si="45"/>
        <v>0</v>
      </c>
      <c r="K69" s="2"/>
      <c r="L69" s="6">
        <f t="shared" si="46"/>
        <v>-1073.6199999999999</v>
      </c>
      <c r="M69" s="2"/>
      <c r="N69" s="7">
        <f t="shared" si="47"/>
        <v>-0.46018859837119586</v>
      </c>
      <c r="O69" s="11"/>
      <c r="P69" s="6">
        <v>4074.38</v>
      </c>
      <c r="Q69" s="2"/>
      <c r="R69" s="7">
        <f t="shared" si="48"/>
        <v>0</v>
      </c>
      <c r="S69" s="2"/>
      <c r="T69" s="6">
        <v>7165</v>
      </c>
      <c r="U69" s="2"/>
      <c r="V69" s="7">
        <f t="shared" si="49"/>
        <v>0</v>
      </c>
      <c r="W69" s="2"/>
      <c r="X69" s="6">
        <f t="shared" si="50"/>
        <v>-3090.62</v>
      </c>
      <c r="Y69" s="2"/>
      <c r="Z69" s="7">
        <f t="shared" si="51"/>
        <v>-0.43134961618981155</v>
      </c>
    </row>
    <row r="70" spans="1:26" s="24" customFormat="1" hidden="1" outlineLevel="2" x14ac:dyDescent="0.25">
      <c r="A70" s="28"/>
      <c r="B70" s="11" t="str">
        <f>CONCATENATE("          ", "6336", " - ", "PROFESSIONAL SERVICES")</f>
        <v xml:space="preserve">          6336 - PROFESSIONAL SERVICES</v>
      </c>
      <c r="C70" s="11"/>
      <c r="D70" s="6">
        <v>131.37</v>
      </c>
      <c r="E70" s="2"/>
      <c r="F70" s="7">
        <f t="shared" si="44"/>
        <v>0</v>
      </c>
      <c r="G70" s="2"/>
      <c r="H70" s="6">
        <v>6250</v>
      </c>
      <c r="I70" s="2"/>
      <c r="J70" s="7">
        <f t="shared" si="45"/>
        <v>0</v>
      </c>
      <c r="K70" s="2"/>
      <c r="L70" s="6">
        <f t="shared" si="46"/>
        <v>-6118.63</v>
      </c>
      <c r="M70" s="2"/>
      <c r="N70" s="7">
        <f t="shared" si="47"/>
        <v>-0.97898079999999998</v>
      </c>
      <c r="O70" s="11"/>
      <c r="P70" s="6">
        <v>4417.58</v>
      </c>
      <c r="Q70" s="2"/>
      <c r="R70" s="7">
        <f t="shared" si="48"/>
        <v>0</v>
      </c>
      <c r="S70" s="2"/>
      <c r="T70" s="6">
        <v>11250</v>
      </c>
      <c r="U70" s="2"/>
      <c r="V70" s="7">
        <f t="shared" si="49"/>
        <v>0</v>
      </c>
      <c r="W70" s="2"/>
      <c r="X70" s="6">
        <f t="shared" si="50"/>
        <v>-6832.42</v>
      </c>
      <c r="Y70" s="2"/>
      <c r="Z70" s="7">
        <f t="shared" si="51"/>
        <v>-0.60732622222222221</v>
      </c>
    </row>
    <row r="71" spans="1:26" s="29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19353.949999999997</v>
      </c>
      <c r="E71" s="1"/>
      <c r="F71" s="5">
        <f t="shared" ref="F71:F75" si="52">IF(D$12=0,0,D71/D$12)</f>
        <v>0</v>
      </c>
      <c r="G71" s="1"/>
      <c r="H71" s="1">
        <f>SUM(OSRRefH22_13x_0)</f>
        <v>26402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-7048.0500000000029</v>
      </c>
      <c r="M71" s="1"/>
      <c r="N71" s="5">
        <f t="shared" ref="N71:N75" si="55">IF(H71=0,0,L71/H71)</f>
        <v>-0.26695136732065766</v>
      </c>
      <c r="O71" s="14"/>
      <c r="P71" s="1">
        <f>SUM(OSRRefP22_13x_0)</f>
        <v>98916.08</v>
      </c>
      <c r="Q71" s="1"/>
      <c r="R71" s="5">
        <f t="shared" ref="R71:R75" si="56">IF(P$12=0,0,P71/P$12)</f>
        <v>0</v>
      </c>
      <c r="S71" s="1"/>
      <c r="T71" s="1">
        <f>SUM(OSRRefT22_13x_0)</f>
        <v>119560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-20643.919999999998</v>
      </c>
      <c r="Y71" s="1"/>
      <c r="Z71" s="5">
        <f t="shared" ref="Z71:Z75" si="59">IF(T71=0,0,X71/T71)</f>
        <v>-0.1726657745065239</v>
      </c>
    </row>
    <row r="72" spans="1:26" s="24" customFormat="1" hidden="1" outlineLevel="2" x14ac:dyDescent="0.25">
      <c r="A72" s="28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4217.41</v>
      </c>
      <c r="E72" s="2"/>
      <c r="F72" s="7">
        <f t="shared" si="52"/>
        <v>0</v>
      </c>
      <c r="G72" s="2"/>
      <c r="H72" s="6">
        <v>8470</v>
      </c>
      <c r="I72" s="2"/>
      <c r="J72" s="7">
        <f t="shared" si="53"/>
        <v>0</v>
      </c>
      <c r="K72" s="2"/>
      <c r="L72" s="6">
        <f t="shared" si="54"/>
        <v>-4252.59</v>
      </c>
      <c r="M72" s="2"/>
      <c r="N72" s="7">
        <f t="shared" si="55"/>
        <v>-0.50207674144037784</v>
      </c>
      <c r="O72" s="11"/>
      <c r="P72" s="6">
        <v>23202.68</v>
      </c>
      <c r="Q72" s="2"/>
      <c r="R72" s="7">
        <f t="shared" si="56"/>
        <v>0</v>
      </c>
      <c r="S72" s="2"/>
      <c r="T72" s="6">
        <v>42350</v>
      </c>
      <c r="U72" s="2"/>
      <c r="V72" s="7">
        <f t="shared" si="57"/>
        <v>0</v>
      </c>
      <c r="W72" s="2"/>
      <c r="X72" s="6">
        <f t="shared" si="58"/>
        <v>-19147.32</v>
      </c>
      <c r="Y72" s="2"/>
      <c r="Z72" s="7">
        <f t="shared" si="59"/>
        <v>-0.45212089728453364</v>
      </c>
    </row>
    <row r="73" spans="1:26" s="24" customFormat="1" hidden="1" outlineLevel="2" x14ac:dyDescent="0.25">
      <c r="A73" s="28"/>
      <c r="B73" s="11" t="str">
        <f>CONCATENATE("          ", "6372", " - ", "COMPUTER HARDWARE MAINTENANCE")</f>
        <v xml:space="preserve">          6372 - COMPUTER HARDWARE MAINTENANCE</v>
      </c>
      <c r="C73" s="11"/>
      <c r="D73" s="6"/>
      <c r="E73" s="2"/>
      <c r="F73" s="7">
        <f t="shared" si="52"/>
        <v>0</v>
      </c>
      <c r="G73" s="2"/>
      <c r="H73" s="6">
        <v>1600</v>
      </c>
      <c r="I73" s="2"/>
      <c r="J73" s="7">
        <f t="shared" si="53"/>
        <v>0</v>
      </c>
      <c r="K73" s="2"/>
      <c r="L73" s="6">
        <f t="shared" si="54"/>
        <v>-1600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8000</v>
      </c>
      <c r="U73" s="2"/>
      <c r="V73" s="7">
        <f t="shared" si="57"/>
        <v>0</v>
      </c>
      <c r="W73" s="2"/>
      <c r="X73" s="6">
        <f t="shared" si="58"/>
        <v>-8000</v>
      </c>
      <c r="Y73" s="2"/>
      <c r="Z73" s="7">
        <f t="shared" si="59"/>
        <v>-1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6">
        <v>14651.44</v>
      </c>
      <c r="E74" s="2"/>
      <c r="F74" s="7">
        <f t="shared" si="52"/>
        <v>0</v>
      </c>
      <c r="G74" s="2"/>
      <c r="H74" s="6">
        <v>16332</v>
      </c>
      <c r="I74" s="2"/>
      <c r="J74" s="7">
        <f t="shared" si="53"/>
        <v>0</v>
      </c>
      <c r="K74" s="2"/>
      <c r="L74" s="6">
        <f t="shared" si="54"/>
        <v>-1680.5599999999995</v>
      </c>
      <c r="M74" s="2"/>
      <c r="N74" s="7">
        <f t="shared" si="55"/>
        <v>-0.10289982855743322</v>
      </c>
      <c r="O74" s="11"/>
      <c r="P74" s="6">
        <v>73543.11</v>
      </c>
      <c r="Q74" s="2"/>
      <c r="R74" s="7">
        <f t="shared" si="56"/>
        <v>0</v>
      </c>
      <c r="S74" s="2"/>
      <c r="T74" s="6">
        <v>69210</v>
      </c>
      <c r="U74" s="2"/>
      <c r="V74" s="7">
        <f t="shared" si="57"/>
        <v>0</v>
      </c>
      <c r="W74" s="2"/>
      <c r="X74" s="6">
        <f t="shared" si="58"/>
        <v>4333.1100000000006</v>
      </c>
      <c r="Y74" s="2"/>
      <c r="Z74" s="7">
        <f t="shared" si="59"/>
        <v>6.2608149111400099E-2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485.1</v>
      </c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485.1</v>
      </c>
      <c r="M75" s="2"/>
      <c r="N75" s="7">
        <f t="shared" si="55"/>
        <v>0</v>
      </c>
      <c r="O75" s="11"/>
      <c r="P75" s="6">
        <v>2170.29</v>
      </c>
      <c r="Q75" s="2"/>
      <c r="R75" s="7">
        <f t="shared" si="56"/>
        <v>0</v>
      </c>
      <c r="S75" s="2"/>
      <c r="T75" s="6"/>
      <c r="U75" s="2"/>
      <c r="V75" s="7">
        <f t="shared" si="57"/>
        <v>0</v>
      </c>
      <c r="W75" s="2"/>
      <c r="X75" s="6">
        <f t="shared" si="58"/>
        <v>2170.29</v>
      </c>
      <c r="Y75" s="2"/>
      <c r="Z75" s="7">
        <f t="shared" si="59"/>
        <v>0</v>
      </c>
    </row>
    <row r="76" spans="1:26" s="29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512.48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-12.519999999999982</v>
      </c>
      <c r="M76" s="1"/>
      <c r="N76" s="5">
        <f t="shared" ref="N76:N78" si="63">IF(H76=0,0,L76/H76)</f>
        <v>-2.3847619047619013E-2</v>
      </c>
      <c r="O76" s="14"/>
      <c r="P76" s="1">
        <f>SUM(OSRRefP22_14x_0)</f>
        <v>2562.4</v>
      </c>
      <c r="Q76" s="1"/>
      <c r="R76" s="5">
        <f t="shared" ref="R76:R78" si="64">IF(P$12=0,0,P76/P$12)</f>
        <v>0</v>
      </c>
      <c r="S76" s="1"/>
      <c r="T76" s="1">
        <f>SUM(OSRRefT22_14x_0)</f>
        <v>2625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-62.599999999999909</v>
      </c>
      <c r="Y76" s="1"/>
      <c r="Z76" s="5">
        <f t="shared" ref="Z76:Z78" si="67">IF(T76=0,0,X76/T76)</f>
        <v>-2.3847619047619013E-2</v>
      </c>
    </row>
    <row r="77" spans="1:26" s="24" customFormat="1" hidden="1" outlineLevel="2" x14ac:dyDescent="0.25">
      <c r="A77" s="28"/>
      <c r="B77" s="11" t="str">
        <f>CONCATENATE("          ", "6281", " - ", "STORAGE FEE")</f>
        <v xml:space="preserve">          6281 - STORAGE FEE</v>
      </c>
      <c r="C77" s="11"/>
      <c r="D77" s="6">
        <v>512.48</v>
      </c>
      <c r="E77" s="2"/>
      <c r="F77" s="7">
        <f t="shared" si="60"/>
        <v>0</v>
      </c>
      <c r="G77" s="2"/>
      <c r="H77" s="6">
        <v>500</v>
      </c>
      <c r="I77" s="2"/>
      <c r="J77" s="7">
        <f t="shared" si="61"/>
        <v>0</v>
      </c>
      <c r="K77" s="2"/>
      <c r="L77" s="6">
        <f t="shared" si="62"/>
        <v>12.480000000000018</v>
      </c>
      <c r="M77" s="2"/>
      <c r="N77" s="7">
        <f t="shared" si="63"/>
        <v>2.4960000000000038E-2</v>
      </c>
      <c r="O77" s="11"/>
      <c r="P77" s="6">
        <v>2562.4</v>
      </c>
      <c r="Q77" s="2"/>
      <c r="R77" s="7">
        <f t="shared" si="64"/>
        <v>0</v>
      </c>
      <c r="S77" s="2"/>
      <c r="T77" s="6">
        <v>2500</v>
      </c>
      <c r="U77" s="2"/>
      <c r="V77" s="7">
        <f t="shared" si="65"/>
        <v>0</v>
      </c>
      <c r="W77" s="2"/>
      <c r="X77" s="6">
        <f t="shared" si="66"/>
        <v>62.400000000000091</v>
      </c>
      <c r="Y77" s="2"/>
      <c r="Z77" s="7">
        <f t="shared" si="67"/>
        <v>2.4960000000000038E-2</v>
      </c>
    </row>
    <row r="78" spans="1:26" s="24" customFormat="1" hidden="1" outlineLevel="2" x14ac:dyDescent="0.25">
      <c r="A78" s="28"/>
      <c r="B78" s="11" t="str">
        <f>CONCATENATE("          ", "6286", " - ", "LAUNDRY EXPENSE")</f>
        <v xml:space="preserve">          6286 - LAUNDRY EXPENSE</v>
      </c>
      <c r="C78" s="11"/>
      <c r="D78" s="6"/>
      <c r="E78" s="2"/>
      <c r="F78" s="7">
        <f t="shared" si="60"/>
        <v>0</v>
      </c>
      <c r="G78" s="2"/>
      <c r="H78" s="6">
        <v>25</v>
      </c>
      <c r="I78" s="2"/>
      <c r="J78" s="7">
        <f t="shared" si="61"/>
        <v>0</v>
      </c>
      <c r="K78" s="2"/>
      <c r="L78" s="6">
        <f t="shared" si="62"/>
        <v>-25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125</v>
      </c>
      <c r="U78" s="2"/>
      <c r="V78" s="7">
        <f t="shared" si="65"/>
        <v>0</v>
      </c>
      <c r="W78" s="2"/>
      <c r="X78" s="6">
        <f t="shared" si="66"/>
        <v>-125</v>
      </c>
      <c r="Y78" s="2"/>
      <c r="Z78" s="7">
        <f t="shared" si="67"/>
        <v>-1</v>
      </c>
    </row>
    <row r="79" spans="1:26" s="29" customFormat="1" outlineLevel="1" collapsed="1" x14ac:dyDescent="0.25">
      <c r="A79" s="27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0</v>
      </c>
      <c r="E79" s="1"/>
      <c r="F79" s="5">
        <f t="shared" ref="F79:F81" si="68">IF(D$12=0,0,D79/D$12)</f>
        <v>0</v>
      </c>
      <c r="G79" s="1"/>
      <c r="H79" s="1">
        <f>SUM(OSRRefH22_15x_0)</f>
        <v>155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-155</v>
      </c>
      <c r="M79" s="1"/>
      <c r="N79" s="5">
        <f t="shared" ref="N79:N81" si="71">IF(H79=0,0,L79/H79)</f>
        <v>-1</v>
      </c>
      <c r="O79" s="14"/>
      <c r="P79" s="1">
        <f>SUM(OSRRefP22_15x_0)</f>
        <v>2259.9899999999998</v>
      </c>
      <c r="Q79" s="1"/>
      <c r="R79" s="5">
        <f t="shared" ref="R79:R81" si="72">IF(P$12=0,0,P79/P$12)</f>
        <v>0</v>
      </c>
      <c r="S79" s="1"/>
      <c r="T79" s="1">
        <f>SUM(OSRRefT22_15x_0)</f>
        <v>3525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-1265.0100000000002</v>
      </c>
      <c r="Y79" s="1"/>
      <c r="Z79" s="5">
        <f t="shared" ref="Z79:Z81" si="75">IF(T79=0,0,X79/T79)</f>
        <v>-0.35886808510638302</v>
      </c>
    </row>
    <row r="80" spans="1:26" s="24" customFormat="1" hidden="1" outlineLevel="2" x14ac:dyDescent="0.25">
      <c r="A80" s="28"/>
      <c r="B80" s="11" t="str">
        <f>CONCATENATE("          ", "6258", " - ", "MEMBERSHIP DUES")</f>
        <v xml:space="preserve">          6258 - MEMBERSHIP DUES</v>
      </c>
      <c r="C80" s="11"/>
      <c r="D80" s="6"/>
      <c r="E80" s="2"/>
      <c r="F80" s="7">
        <f t="shared" si="68"/>
        <v>0</v>
      </c>
      <c r="G80" s="2"/>
      <c r="H80" s="6">
        <v>55</v>
      </c>
      <c r="I80" s="2"/>
      <c r="J80" s="7">
        <f t="shared" si="69"/>
        <v>0</v>
      </c>
      <c r="K80" s="2"/>
      <c r="L80" s="6">
        <f t="shared" si="70"/>
        <v>-55</v>
      </c>
      <c r="M80" s="2"/>
      <c r="N80" s="7">
        <f t="shared" si="71"/>
        <v>-1</v>
      </c>
      <c r="O80" s="11"/>
      <c r="P80" s="6">
        <v>2259.9899999999998</v>
      </c>
      <c r="Q80" s="2"/>
      <c r="R80" s="7">
        <f t="shared" si="72"/>
        <v>0</v>
      </c>
      <c r="S80" s="2"/>
      <c r="T80" s="6">
        <v>3025</v>
      </c>
      <c r="U80" s="2"/>
      <c r="V80" s="7">
        <f t="shared" si="73"/>
        <v>0</v>
      </c>
      <c r="W80" s="2"/>
      <c r="X80" s="6">
        <f t="shared" si="74"/>
        <v>-765.01000000000022</v>
      </c>
      <c r="Y80" s="2"/>
      <c r="Z80" s="7">
        <f t="shared" si="75"/>
        <v>-0.25289586776859513</v>
      </c>
    </row>
    <row r="81" spans="1:26" s="24" customFormat="1" hidden="1" outlineLevel="2" x14ac:dyDescent="0.25">
      <c r="A81" s="28"/>
      <c r="B81" s="11" t="str">
        <f>CONCATENATE("          ", "6275", " - ", "SUBSCRIPTIONS")</f>
        <v xml:space="preserve">          6275 - SUBSCRIPTIONS</v>
      </c>
      <c r="C81" s="11"/>
      <c r="D81" s="6"/>
      <c r="E81" s="2"/>
      <c r="F81" s="7">
        <f t="shared" si="68"/>
        <v>0</v>
      </c>
      <c r="G81" s="2"/>
      <c r="H81" s="6">
        <v>100</v>
      </c>
      <c r="I81" s="2"/>
      <c r="J81" s="7">
        <f t="shared" si="69"/>
        <v>0</v>
      </c>
      <c r="K81" s="2"/>
      <c r="L81" s="6">
        <f t="shared" si="70"/>
        <v>-100</v>
      </c>
      <c r="M81" s="2"/>
      <c r="N81" s="7">
        <f t="shared" si="71"/>
        <v>-1</v>
      </c>
      <c r="O81" s="11"/>
      <c r="P81" s="6"/>
      <c r="Q81" s="2"/>
      <c r="R81" s="7">
        <f t="shared" si="72"/>
        <v>0</v>
      </c>
      <c r="S81" s="2"/>
      <c r="T81" s="6">
        <v>500</v>
      </c>
      <c r="U81" s="2"/>
      <c r="V81" s="7">
        <f t="shared" si="73"/>
        <v>0</v>
      </c>
      <c r="W81" s="2"/>
      <c r="X81" s="6">
        <f t="shared" si="74"/>
        <v>-500</v>
      </c>
      <c r="Y81" s="2"/>
      <c r="Z81" s="7">
        <f t="shared" si="75"/>
        <v>-1</v>
      </c>
    </row>
    <row r="82" spans="1:26" s="29" customFormat="1" outlineLevel="1" collapsed="1" x14ac:dyDescent="0.25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1579.17</v>
      </c>
      <c r="E82" s="1"/>
      <c r="F82" s="5">
        <f t="shared" ref="F82:F87" si="76">IF(D$12=0,0,D82/D$12)</f>
        <v>0</v>
      </c>
      <c r="G82" s="1"/>
      <c r="H82" s="1">
        <f>SUM(OSRRefH22_16x_0)</f>
        <v>4417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-2837.83</v>
      </c>
      <c r="M82" s="1"/>
      <c r="N82" s="5">
        <f t="shared" ref="N82:N87" si="79">IF(H82=0,0,L82/H82)</f>
        <v>-0.64247905818428797</v>
      </c>
      <c r="O82" s="14"/>
      <c r="P82" s="1">
        <f>SUM(OSRRefP22_16x_0)</f>
        <v>-382.53</v>
      </c>
      <c r="Q82" s="1"/>
      <c r="R82" s="5">
        <f t="shared" ref="R82:R87" si="80">IF(P$12=0,0,P82/P$12)</f>
        <v>0</v>
      </c>
      <c r="S82" s="1"/>
      <c r="T82" s="1">
        <f>SUM(OSRRefT22_16x_0)</f>
        <v>39669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-40051.53</v>
      </c>
      <c r="Y82" s="1"/>
      <c r="Z82" s="5">
        <f t="shared" ref="Z82:Z87" si="83">IF(T82=0,0,X82/T82)</f>
        <v>-1.009643046207366</v>
      </c>
    </row>
    <row r="83" spans="1:26" s="24" customFormat="1" hidden="1" outlineLevel="2" x14ac:dyDescent="0.25">
      <c r="A83" s="28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76"/>
        <v>0</v>
      </c>
      <c r="G83" s="2"/>
      <c r="H83" s="6">
        <v>1000</v>
      </c>
      <c r="I83" s="2"/>
      <c r="J83" s="7">
        <f t="shared" si="77"/>
        <v>0</v>
      </c>
      <c r="K83" s="2"/>
      <c r="L83" s="6">
        <f t="shared" si="78"/>
        <v>-1000</v>
      </c>
      <c r="M83" s="2"/>
      <c r="N83" s="7">
        <f t="shared" si="79"/>
        <v>-1</v>
      </c>
      <c r="O83" s="11"/>
      <c r="P83" s="6"/>
      <c r="Q83" s="2"/>
      <c r="R83" s="7">
        <f t="shared" si="80"/>
        <v>0</v>
      </c>
      <c r="S83" s="2"/>
      <c r="T83" s="6">
        <v>14584</v>
      </c>
      <c r="U83" s="2"/>
      <c r="V83" s="7">
        <f t="shared" si="81"/>
        <v>0</v>
      </c>
      <c r="W83" s="2"/>
      <c r="X83" s="6">
        <f t="shared" si="82"/>
        <v>-14584</v>
      </c>
      <c r="Y83" s="2"/>
      <c r="Z83" s="7">
        <f t="shared" si="83"/>
        <v>-1</v>
      </c>
    </row>
    <row r="84" spans="1:26" s="24" customFormat="1" hidden="1" outlineLevel="2" x14ac:dyDescent="0.25">
      <c r="A84" s="28"/>
      <c r="B84" s="11" t="str">
        <f>CONCATENATE("          ", "6235", " - ", "COVID-19 EXPENSES")</f>
        <v xml:space="preserve">          6235 - COVID-19 EXPENSES</v>
      </c>
      <c r="C84" s="11"/>
      <c r="D84" s="6">
        <v>66.12</v>
      </c>
      <c r="E84" s="2"/>
      <c r="F84" s="7">
        <f t="shared" si="76"/>
        <v>0</v>
      </c>
      <c r="G84" s="2"/>
      <c r="H84" s="6">
        <v>417</v>
      </c>
      <c r="I84" s="2"/>
      <c r="J84" s="7">
        <f t="shared" si="77"/>
        <v>0</v>
      </c>
      <c r="K84" s="2"/>
      <c r="L84" s="6">
        <f t="shared" si="78"/>
        <v>-350.88</v>
      </c>
      <c r="M84" s="2"/>
      <c r="N84" s="7">
        <f t="shared" si="79"/>
        <v>-0.84143884892086329</v>
      </c>
      <c r="O84" s="11"/>
      <c r="P84" s="6">
        <v>810.3</v>
      </c>
      <c r="Q84" s="2"/>
      <c r="R84" s="7">
        <f t="shared" si="80"/>
        <v>0</v>
      </c>
      <c r="S84" s="2"/>
      <c r="T84" s="6">
        <v>2585</v>
      </c>
      <c r="U84" s="2"/>
      <c r="V84" s="7">
        <f t="shared" si="81"/>
        <v>0</v>
      </c>
      <c r="W84" s="2"/>
      <c r="X84" s="6">
        <f t="shared" si="82"/>
        <v>-1774.7</v>
      </c>
      <c r="Y84" s="2"/>
      <c r="Z84" s="7">
        <f t="shared" si="83"/>
        <v>-0.68653771760154736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6">
        <v>1513.05</v>
      </c>
      <c r="E85" s="2"/>
      <c r="F85" s="7">
        <f t="shared" si="76"/>
        <v>0</v>
      </c>
      <c r="G85" s="2"/>
      <c r="H85" s="6">
        <v>2583</v>
      </c>
      <c r="I85" s="2"/>
      <c r="J85" s="7">
        <f t="shared" si="77"/>
        <v>0</v>
      </c>
      <c r="K85" s="2"/>
      <c r="L85" s="6">
        <f t="shared" si="78"/>
        <v>-1069.95</v>
      </c>
      <c r="M85" s="2"/>
      <c r="N85" s="7">
        <f t="shared" si="79"/>
        <v>-0.41422764227642278</v>
      </c>
      <c r="O85" s="11"/>
      <c r="P85" s="6">
        <v>-1415.54</v>
      </c>
      <c r="Q85" s="2"/>
      <c r="R85" s="7">
        <f t="shared" si="80"/>
        <v>0</v>
      </c>
      <c r="S85" s="2"/>
      <c r="T85" s="6">
        <v>15415</v>
      </c>
      <c r="U85" s="2"/>
      <c r="V85" s="7">
        <f t="shared" si="81"/>
        <v>0</v>
      </c>
      <c r="W85" s="2"/>
      <c r="X85" s="6">
        <f t="shared" si="82"/>
        <v>-16830.54</v>
      </c>
      <c r="Y85" s="2"/>
      <c r="Z85" s="7">
        <f t="shared" si="83"/>
        <v>-1.0918287382419722</v>
      </c>
    </row>
    <row r="86" spans="1:26" s="24" customFormat="1" hidden="1" outlineLevel="2" x14ac:dyDescent="0.25">
      <c r="A86" s="28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76"/>
        <v>0</v>
      </c>
      <c r="G86" s="2"/>
      <c r="H86" s="6">
        <v>417</v>
      </c>
      <c r="I86" s="2"/>
      <c r="J86" s="7">
        <f t="shared" si="77"/>
        <v>0</v>
      </c>
      <c r="K86" s="2"/>
      <c r="L86" s="6">
        <f t="shared" si="78"/>
        <v>-417</v>
      </c>
      <c r="M86" s="2"/>
      <c r="N86" s="7">
        <f t="shared" si="79"/>
        <v>-1</v>
      </c>
      <c r="O86" s="11"/>
      <c r="P86" s="6">
        <v>222.71</v>
      </c>
      <c r="Q86" s="2"/>
      <c r="R86" s="7">
        <f t="shared" si="80"/>
        <v>0</v>
      </c>
      <c r="S86" s="2"/>
      <c r="T86" s="6">
        <v>2085</v>
      </c>
      <c r="U86" s="2"/>
      <c r="V86" s="7">
        <f t="shared" si="81"/>
        <v>0</v>
      </c>
      <c r="W86" s="2"/>
      <c r="X86" s="6">
        <f t="shared" si="82"/>
        <v>-1862.29</v>
      </c>
      <c r="Y86" s="2"/>
      <c r="Z86" s="7">
        <f t="shared" si="83"/>
        <v>-0.89318465227817745</v>
      </c>
    </row>
    <row r="87" spans="1:26" s="24" customFormat="1" hidden="1" outlineLevel="2" x14ac:dyDescent="0.25">
      <c r="A87" s="28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76"/>
        <v>0</v>
      </c>
      <c r="G87" s="2"/>
      <c r="H87" s="6"/>
      <c r="I87" s="2"/>
      <c r="J87" s="7">
        <f t="shared" si="77"/>
        <v>0</v>
      </c>
      <c r="K87" s="2"/>
      <c r="L87" s="6">
        <f t="shared" si="78"/>
        <v>0</v>
      </c>
      <c r="M87" s="2"/>
      <c r="N87" s="7">
        <f t="shared" si="79"/>
        <v>0</v>
      </c>
      <c r="O87" s="11"/>
      <c r="P87" s="6"/>
      <c r="Q87" s="2"/>
      <c r="R87" s="7">
        <f t="shared" si="80"/>
        <v>0</v>
      </c>
      <c r="S87" s="2"/>
      <c r="T87" s="6">
        <v>5000</v>
      </c>
      <c r="U87" s="2"/>
      <c r="V87" s="7">
        <f t="shared" si="81"/>
        <v>0</v>
      </c>
      <c r="W87" s="2"/>
      <c r="X87" s="6">
        <f t="shared" si="82"/>
        <v>-5000</v>
      </c>
      <c r="Y87" s="2"/>
      <c r="Z87" s="7">
        <f t="shared" si="83"/>
        <v>-1</v>
      </c>
    </row>
    <row r="88" spans="1:26" s="29" customFormat="1" outlineLevel="1" collapsed="1" x14ac:dyDescent="0.2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1878.28</v>
      </c>
      <c r="E88" s="1"/>
      <c r="F88" s="5">
        <f t="shared" ref="F88:F90" si="84">IF(D$12=0,0,D88/D$12)</f>
        <v>0</v>
      </c>
      <c r="G88" s="1"/>
      <c r="H88" s="1">
        <f>SUM(OSRRefH22_17x_0)</f>
        <v>1435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443.28</v>
      </c>
      <c r="M88" s="1"/>
      <c r="N88" s="5">
        <f t="shared" ref="N88:N90" si="87">IF(H88=0,0,L88/H88)</f>
        <v>0.30890592334494771</v>
      </c>
      <c r="O88" s="14"/>
      <c r="P88" s="1">
        <f>SUM(OSRRefP22_17x_0)</f>
        <v>10046.48</v>
      </c>
      <c r="Q88" s="1"/>
      <c r="R88" s="5">
        <f t="shared" ref="R88:R90" si="88">IF(P$12=0,0,P88/P$12)</f>
        <v>0</v>
      </c>
      <c r="S88" s="1"/>
      <c r="T88" s="1">
        <f>SUM(OSRRefT22_17x_0)</f>
        <v>9125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921.47999999999956</v>
      </c>
      <c r="Y88" s="1"/>
      <c r="Z88" s="5">
        <f t="shared" ref="Z88:Z90" si="91">IF(T88=0,0,X88/T88)</f>
        <v>0.10098410958904105</v>
      </c>
    </row>
    <row r="89" spans="1:26" s="24" customFormat="1" hidden="1" outlineLevel="2" x14ac:dyDescent="0.25">
      <c r="A89" s="28"/>
      <c r="B89" s="11" t="str">
        <f>CONCATENATE("          ", "6303", " - ", "DATA PHONE LINES")</f>
        <v xml:space="preserve">          6303 - DATA PHONE LINES</v>
      </c>
      <c r="C89" s="11"/>
      <c r="D89" s="6">
        <v>144.97999999999999</v>
      </c>
      <c r="E89" s="2"/>
      <c r="F89" s="7">
        <f t="shared" si="84"/>
        <v>0</v>
      </c>
      <c r="G89" s="2"/>
      <c r="H89" s="6">
        <v>335</v>
      </c>
      <c r="I89" s="2"/>
      <c r="J89" s="7">
        <f t="shared" si="85"/>
        <v>0</v>
      </c>
      <c r="K89" s="2"/>
      <c r="L89" s="6">
        <f t="shared" si="86"/>
        <v>-190.02</v>
      </c>
      <c r="M89" s="2"/>
      <c r="N89" s="7">
        <f t="shared" si="87"/>
        <v>-0.56722388059701501</v>
      </c>
      <c r="O89" s="11"/>
      <c r="P89" s="6">
        <v>525.92999999999995</v>
      </c>
      <c r="Q89" s="2"/>
      <c r="R89" s="7">
        <f t="shared" si="88"/>
        <v>0</v>
      </c>
      <c r="S89" s="2"/>
      <c r="T89" s="6">
        <v>3475</v>
      </c>
      <c r="U89" s="2"/>
      <c r="V89" s="7">
        <f t="shared" si="89"/>
        <v>0</v>
      </c>
      <c r="W89" s="2"/>
      <c r="X89" s="6">
        <f t="shared" si="90"/>
        <v>-2949.07</v>
      </c>
      <c r="Y89" s="2"/>
      <c r="Z89" s="7">
        <f t="shared" si="91"/>
        <v>-0.84865323741007204</v>
      </c>
    </row>
    <row r="90" spans="1:26" s="24" customFormat="1" hidden="1" outlineLevel="2" x14ac:dyDescent="0.25">
      <c r="A90" s="28"/>
      <c r="B90" s="11" t="str">
        <f>CONCATENATE("          ", "6309", " - ", "TELEPHONE")</f>
        <v xml:space="preserve">          6309 - TELEPHONE</v>
      </c>
      <c r="C90" s="11"/>
      <c r="D90" s="6">
        <v>1733.3</v>
      </c>
      <c r="E90" s="2"/>
      <c r="F90" s="7">
        <f t="shared" si="84"/>
        <v>0</v>
      </c>
      <c r="G90" s="2"/>
      <c r="H90" s="6">
        <v>1100</v>
      </c>
      <c r="I90" s="2"/>
      <c r="J90" s="7">
        <f t="shared" si="85"/>
        <v>0</v>
      </c>
      <c r="K90" s="2"/>
      <c r="L90" s="6">
        <f t="shared" si="86"/>
        <v>633.29999999999995</v>
      </c>
      <c r="M90" s="2"/>
      <c r="N90" s="7">
        <f t="shared" si="87"/>
        <v>0.57572727272727264</v>
      </c>
      <c r="O90" s="11"/>
      <c r="P90" s="6">
        <v>9520.5499999999993</v>
      </c>
      <c r="Q90" s="2"/>
      <c r="R90" s="7">
        <f t="shared" si="88"/>
        <v>0</v>
      </c>
      <c r="S90" s="2"/>
      <c r="T90" s="6">
        <v>5650</v>
      </c>
      <c r="U90" s="2"/>
      <c r="V90" s="7">
        <f t="shared" si="89"/>
        <v>0</v>
      </c>
      <c r="W90" s="2"/>
      <c r="X90" s="6">
        <f t="shared" si="90"/>
        <v>3870.5499999999993</v>
      </c>
      <c r="Y90" s="2"/>
      <c r="Z90" s="7">
        <f t="shared" si="91"/>
        <v>0.68505309734513264</v>
      </c>
    </row>
    <row r="91" spans="1:26" s="29" customFormat="1" outlineLevel="1" collapsed="1" x14ac:dyDescent="0.2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1126.5</v>
      </c>
      <c r="E91" s="1"/>
      <c r="F91" s="5">
        <f t="shared" ref="F91:F95" si="92">IF(D$12=0,0,D91/D$12)</f>
        <v>0</v>
      </c>
      <c r="G91" s="1"/>
      <c r="H91" s="1">
        <f>SUM(OSRRefH22_18x_0)</f>
        <v>2696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-1569.5</v>
      </c>
      <c r="M91" s="1"/>
      <c r="N91" s="5">
        <f t="shared" ref="N91:N95" si="95">IF(H91=0,0,L91/H91)</f>
        <v>-0.58215875370919878</v>
      </c>
      <c r="O91" s="14"/>
      <c r="P91" s="1">
        <f>SUM(OSRRefP22_18x_0)</f>
        <v>1427.5</v>
      </c>
      <c r="Q91" s="1"/>
      <c r="R91" s="5">
        <f t="shared" ref="R91:R95" si="96">IF(P$12=0,0,P91/P$12)</f>
        <v>0</v>
      </c>
      <c r="S91" s="1"/>
      <c r="T91" s="1">
        <f>SUM(OSRRefT22_18x_0)</f>
        <v>9630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-8202.5</v>
      </c>
      <c r="Y91" s="1"/>
      <c r="Z91" s="5">
        <f t="shared" ref="Z91:Z95" si="99">IF(T91=0,0,X91/T91)</f>
        <v>-0.85176531671858779</v>
      </c>
    </row>
    <row r="92" spans="1:26" s="24" customFormat="1" hidden="1" outlineLevel="2" x14ac:dyDescent="0.25">
      <c r="A92" s="28"/>
      <c r="B92" s="11" t="str">
        <f>CONCATENATE("          ", "6376", " - ", "TRAINING")</f>
        <v xml:space="preserve">          6376 - TRAINING</v>
      </c>
      <c r="C92" s="11"/>
      <c r="D92" s="6">
        <v>1126.5</v>
      </c>
      <c r="E92" s="2"/>
      <c r="F92" s="7">
        <f t="shared" si="92"/>
        <v>0</v>
      </c>
      <c r="G92" s="2"/>
      <c r="H92" s="6">
        <v>2696</v>
      </c>
      <c r="I92" s="2"/>
      <c r="J92" s="7">
        <f t="shared" si="93"/>
        <v>0</v>
      </c>
      <c r="K92" s="2"/>
      <c r="L92" s="6">
        <f t="shared" si="94"/>
        <v>-1569.5</v>
      </c>
      <c r="M92" s="2"/>
      <c r="N92" s="7">
        <f t="shared" si="95"/>
        <v>-0.58215875370919878</v>
      </c>
      <c r="O92" s="11"/>
      <c r="P92" s="6">
        <v>1427.5</v>
      </c>
      <c r="Q92" s="2"/>
      <c r="R92" s="7">
        <f t="shared" si="96"/>
        <v>0</v>
      </c>
      <c r="S92" s="2"/>
      <c r="T92" s="6">
        <v>9630</v>
      </c>
      <c r="U92" s="2"/>
      <c r="V92" s="7">
        <f t="shared" si="97"/>
        <v>0</v>
      </c>
      <c r="W92" s="2"/>
      <c r="X92" s="6">
        <f t="shared" si="98"/>
        <v>-8202.5</v>
      </c>
      <c r="Y92" s="2"/>
      <c r="Z92" s="7">
        <f t="shared" si="99"/>
        <v>-0.85176531671858779</v>
      </c>
    </row>
    <row r="93" spans="1:26" s="29" customFormat="1" outlineLevel="1" collapsed="1" x14ac:dyDescent="0.25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720</v>
      </c>
      <c r="E93" s="1"/>
      <c r="F93" s="5">
        <f t="shared" si="92"/>
        <v>0</v>
      </c>
      <c r="G93" s="1"/>
      <c r="H93" s="1">
        <f>SUM(OSRRefH22_19x_0)</f>
        <v>625</v>
      </c>
      <c r="I93" s="1"/>
      <c r="J93" s="5">
        <f t="shared" si="93"/>
        <v>0</v>
      </c>
      <c r="K93" s="1"/>
      <c r="L93" s="1">
        <f t="shared" si="94"/>
        <v>95</v>
      </c>
      <c r="M93" s="1"/>
      <c r="N93" s="5">
        <f t="shared" si="95"/>
        <v>0.152</v>
      </c>
      <c r="O93" s="14"/>
      <c r="P93" s="1">
        <f>SUM(OSRRefP22_19x_0)</f>
        <v>766.62</v>
      </c>
      <c r="Q93" s="1"/>
      <c r="R93" s="5">
        <f t="shared" si="96"/>
        <v>0</v>
      </c>
      <c r="S93" s="1"/>
      <c r="T93" s="1">
        <f>SUM(OSRRefT22_19x_0)</f>
        <v>3225</v>
      </c>
      <c r="U93" s="1"/>
      <c r="V93" s="5">
        <f t="shared" si="97"/>
        <v>0</v>
      </c>
      <c r="W93" s="1"/>
      <c r="X93" s="1">
        <f t="shared" si="98"/>
        <v>-2458.38</v>
      </c>
      <c r="Y93" s="1"/>
      <c r="Z93" s="5">
        <f t="shared" si="99"/>
        <v>-0.76228837209302325</v>
      </c>
    </row>
    <row r="94" spans="1:26" s="24" customFormat="1" hidden="1" outlineLevel="2" x14ac:dyDescent="0.25">
      <c r="A94" s="28"/>
      <c r="B94" s="11" t="str">
        <f>CONCATENATE("          ", "6292", " - ", "TRAVEL/CONFERENCE")</f>
        <v xml:space="preserve">          6292 - TRAVEL/CONFERENCE</v>
      </c>
      <c r="C94" s="11"/>
      <c r="D94" s="6">
        <v>720</v>
      </c>
      <c r="E94" s="2"/>
      <c r="F94" s="7">
        <f t="shared" si="92"/>
        <v>0</v>
      </c>
      <c r="G94" s="2"/>
      <c r="H94" s="6">
        <v>625</v>
      </c>
      <c r="I94" s="2"/>
      <c r="J94" s="7">
        <f t="shared" si="93"/>
        <v>0</v>
      </c>
      <c r="K94" s="2"/>
      <c r="L94" s="6">
        <f t="shared" si="94"/>
        <v>95</v>
      </c>
      <c r="M94" s="2"/>
      <c r="N94" s="7">
        <f t="shared" si="95"/>
        <v>0.152</v>
      </c>
      <c r="O94" s="11"/>
      <c r="P94" s="6">
        <v>720</v>
      </c>
      <c r="Q94" s="2"/>
      <c r="R94" s="7">
        <f t="shared" si="96"/>
        <v>0</v>
      </c>
      <c r="S94" s="2"/>
      <c r="T94" s="6">
        <v>3125</v>
      </c>
      <c r="U94" s="2"/>
      <c r="V94" s="7">
        <f t="shared" si="97"/>
        <v>0</v>
      </c>
      <c r="W94" s="2"/>
      <c r="X94" s="6">
        <f t="shared" si="98"/>
        <v>-2405</v>
      </c>
      <c r="Y94" s="2"/>
      <c r="Z94" s="7">
        <f t="shared" si="99"/>
        <v>-0.76959999999999995</v>
      </c>
    </row>
    <row r="95" spans="1:26" s="24" customFormat="1" hidden="1" outlineLevel="2" x14ac:dyDescent="0.25">
      <c r="A95" s="28"/>
      <c r="B95" s="11" t="str">
        <f>CONCATENATE("          ", "6294", " - ", "TRAVEL OPERATIONAL")</f>
        <v xml:space="preserve">          6294 - TRAVEL OPERATIONAL</v>
      </c>
      <c r="C95" s="11"/>
      <c r="D95" s="6"/>
      <c r="E95" s="2"/>
      <c r="F95" s="7">
        <f t="shared" si="92"/>
        <v>0</v>
      </c>
      <c r="G95" s="2"/>
      <c r="H95" s="6"/>
      <c r="I95" s="2"/>
      <c r="J95" s="7">
        <f t="shared" si="93"/>
        <v>0</v>
      </c>
      <c r="K95" s="2"/>
      <c r="L95" s="6">
        <f t="shared" si="94"/>
        <v>0</v>
      </c>
      <c r="M95" s="2"/>
      <c r="N95" s="7">
        <f t="shared" si="95"/>
        <v>0</v>
      </c>
      <c r="O95" s="11"/>
      <c r="P95" s="6">
        <v>46.62</v>
      </c>
      <c r="Q95" s="2"/>
      <c r="R95" s="7">
        <f t="shared" si="96"/>
        <v>0</v>
      </c>
      <c r="S95" s="2"/>
      <c r="T95" s="6">
        <v>100</v>
      </c>
      <c r="U95" s="2"/>
      <c r="V95" s="7">
        <f t="shared" si="97"/>
        <v>0</v>
      </c>
      <c r="W95" s="2"/>
      <c r="X95" s="6">
        <f t="shared" si="98"/>
        <v>-53.38</v>
      </c>
      <c r="Y95" s="2"/>
      <c r="Z95" s="7">
        <f t="shared" si="99"/>
        <v>-0.53380000000000005</v>
      </c>
    </row>
    <row r="96" spans="1:26" s="62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2">
        <f t="shared" si="100"/>
        <v>0</v>
      </c>
      <c r="G98" s="2"/>
      <c r="H98" s="2"/>
      <c r="I98" s="2"/>
      <c r="J98" s="22">
        <f t="shared" si="101"/>
        <v>0</v>
      </c>
      <c r="K98" s="2"/>
      <c r="L98" s="2">
        <f t="shared" si="102"/>
        <v>0</v>
      </c>
      <c r="M98" s="2"/>
      <c r="N98" s="22">
        <f t="shared" si="103"/>
        <v>0</v>
      </c>
      <c r="O98" s="11"/>
      <c r="P98" s="2">
        <f t="shared" ref="P98:P100" si="109">0</f>
        <v>0</v>
      </c>
      <c r="Q98" s="2"/>
      <c r="R98" s="22">
        <f t="shared" si="104"/>
        <v>0</v>
      </c>
      <c r="S98" s="2"/>
      <c r="T98" s="2">
        <v>0</v>
      </c>
      <c r="U98" s="2"/>
      <c r="V98" s="22">
        <f t="shared" si="105"/>
        <v>0</v>
      </c>
      <c r="W98" s="2"/>
      <c r="X98" s="2">
        <f t="shared" si="106"/>
        <v>0</v>
      </c>
      <c r="Y98" s="2"/>
      <c r="Z98" s="22">
        <f t="shared" si="107"/>
        <v>0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2">
        <f t="shared" si="100"/>
        <v>0</v>
      </c>
      <c r="G99" s="2"/>
      <c r="H99" s="2"/>
      <c r="I99" s="2"/>
      <c r="J99" s="22">
        <f t="shared" si="101"/>
        <v>0</v>
      </c>
      <c r="K99" s="2"/>
      <c r="L99" s="2">
        <f t="shared" si="102"/>
        <v>0</v>
      </c>
      <c r="M99" s="2"/>
      <c r="N99" s="22">
        <f t="shared" si="103"/>
        <v>0</v>
      </c>
      <c r="O99" s="11"/>
      <c r="P99" s="2">
        <f t="shared" si="109"/>
        <v>0</v>
      </c>
      <c r="Q99" s="2"/>
      <c r="R99" s="22">
        <f t="shared" si="104"/>
        <v>0</v>
      </c>
      <c r="S99" s="2"/>
      <c r="T99" s="2">
        <v>0</v>
      </c>
      <c r="U99" s="2"/>
      <c r="V99" s="22">
        <f t="shared" si="105"/>
        <v>0</v>
      </c>
      <c r="W99" s="2"/>
      <c r="X99" s="2">
        <f t="shared" si="106"/>
        <v>0</v>
      </c>
      <c r="Y99" s="2"/>
      <c r="Z99" s="22">
        <f t="shared" si="107"/>
        <v>0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2">
        <f t="shared" si="100"/>
        <v>0</v>
      </c>
      <c r="G100" s="2"/>
      <c r="H100" s="2"/>
      <c r="I100" s="2"/>
      <c r="J100" s="22">
        <f t="shared" si="101"/>
        <v>0</v>
      </c>
      <c r="K100" s="2"/>
      <c r="L100" s="2">
        <f t="shared" si="102"/>
        <v>0</v>
      </c>
      <c r="M100" s="2"/>
      <c r="N100" s="22">
        <f t="shared" si="103"/>
        <v>0</v>
      </c>
      <c r="O100" s="11"/>
      <c r="P100" s="2">
        <f t="shared" si="109"/>
        <v>0</v>
      </c>
      <c r="Q100" s="2"/>
      <c r="R100" s="22">
        <f t="shared" si="104"/>
        <v>0</v>
      </c>
      <c r="S100" s="2"/>
      <c r="T100" s="2">
        <v>0</v>
      </c>
      <c r="U100" s="2"/>
      <c r="V100" s="22">
        <f t="shared" si="105"/>
        <v>0</v>
      </c>
      <c r="W100" s="2"/>
      <c r="X100" s="2">
        <f t="shared" si="106"/>
        <v>0</v>
      </c>
      <c r="Y100" s="2"/>
      <c r="Z100" s="22">
        <f t="shared" si="107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1">
        <f>+D17-D19+D97</f>
        <v>183271.43000000002</v>
      </c>
      <c r="E102" s="13"/>
      <c r="F102" s="20">
        <f>IF(D$12=0,0,D102/D$12)</f>
        <v>0</v>
      </c>
      <c r="G102" s="13"/>
      <c r="H102" s="21">
        <f>+H17-H19+H97</f>
        <v>-272717.64046153845</v>
      </c>
      <c r="I102" s="13"/>
      <c r="J102" s="20">
        <f>IF(H$12=0,0,H102/H$12)</f>
        <v>0</v>
      </c>
      <c r="K102" s="16"/>
      <c r="L102" s="21">
        <f>+D102-H102</f>
        <v>455989.0704615385</v>
      </c>
      <c r="M102" s="16"/>
      <c r="N102" s="20">
        <f>IF(H102=0,0,L102/H102)</f>
        <v>-1.6720189779063703</v>
      </c>
      <c r="O102" s="26"/>
      <c r="P102" s="21">
        <f>+P17-P19+P97</f>
        <v>-740376.26000000024</v>
      </c>
      <c r="Q102" s="13"/>
      <c r="R102" s="20">
        <f>IF(P$12=0,0,P102/P$12)</f>
        <v>0</v>
      </c>
      <c r="S102" s="13"/>
      <c r="T102" s="21">
        <f>+T17-T19+T97</f>
        <v>-1376012.7776846155</v>
      </c>
      <c r="U102" s="13"/>
      <c r="V102" s="20">
        <f>IF(T$12=0,0,T102/T$12)</f>
        <v>0</v>
      </c>
      <c r="W102" s="16"/>
      <c r="X102" s="21">
        <f>+P102-T102</f>
        <v>635636.51768461522</v>
      </c>
      <c r="Y102" s="16"/>
      <c r="Z102" s="20">
        <f>IF(T102=0,0,X102/T102)</f>
        <v>-0.46194085403348212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1">
        <f>+D102-D104</f>
        <v>183271.43000000002</v>
      </c>
      <c r="E106" s="13"/>
      <c r="F106" s="34">
        <f>IF(D$12=0,0,D106/D$12)</f>
        <v>0</v>
      </c>
      <c r="G106" s="13"/>
      <c r="H106" s="31">
        <f>+H102-H104</f>
        <v>-272717.64046153845</v>
      </c>
      <c r="I106" s="13"/>
      <c r="J106" s="34">
        <f>IF(H$12=0,0,H106/H$12)</f>
        <v>0</v>
      </c>
      <c r="K106" s="16"/>
      <c r="L106" s="31">
        <f>D106-H106</f>
        <v>455989.0704615385</v>
      </c>
      <c r="M106" s="16"/>
      <c r="N106" s="34">
        <f>IF(H106=0,0,L106/H106)</f>
        <v>-1.6720189779063703</v>
      </c>
      <c r="O106" s="26"/>
      <c r="P106" s="31">
        <f>+P102-P104</f>
        <v>-740376.26000000024</v>
      </c>
      <c r="Q106" s="13"/>
      <c r="R106" s="34">
        <f>IF(P$12=0,0,P106/P$12)</f>
        <v>0</v>
      </c>
      <c r="S106" s="13"/>
      <c r="T106" s="31">
        <f>+T102-T104</f>
        <v>-1376012.7776846155</v>
      </c>
      <c r="U106" s="13"/>
      <c r="V106" s="34">
        <f>IF(T$12=0,0,T106/T$12)</f>
        <v>0</v>
      </c>
      <c r="W106" s="16"/>
      <c r="X106" s="31">
        <f>P106-T106</f>
        <v>635636.51768461522</v>
      </c>
      <c r="Y106" s="16"/>
      <c r="Z106" s="34">
        <f>IF(T106=0,0,X106/T106)</f>
        <v>-0.46194085403348212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3">
        <f>SUM(D106:D108)</f>
        <v>183271.43000000002</v>
      </c>
      <c r="E109" s="13"/>
      <c r="F109" s="30">
        <f>IF(D$12=0,0,D109/D$12)</f>
        <v>0</v>
      </c>
      <c r="G109" s="13"/>
      <c r="H109" s="33">
        <f>SUM(H106:H108)</f>
        <v>-272717.64046153845</v>
      </c>
      <c r="I109" s="13"/>
      <c r="J109" s="30">
        <f>IF(H$12=0,0,H109/H$12)</f>
        <v>0</v>
      </c>
      <c r="K109" s="16"/>
      <c r="L109" s="33">
        <f>+D109-H109</f>
        <v>455989.0704615385</v>
      </c>
      <c r="M109" s="16"/>
      <c r="N109" s="30">
        <f>IF(H109=0,0,L109/H109)</f>
        <v>-1.6720189779063703</v>
      </c>
      <c r="O109" s="26"/>
      <c r="P109" s="33">
        <f>SUM(P106:P108)</f>
        <v>-740376.26000000024</v>
      </c>
      <c r="Q109" s="13"/>
      <c r="R109" s="30">
        <f>IF(P$12=0,0,P109/P$12)</f>
        <v>0</v>
      </c>
      <c r="S109" s="13"/>
      <c r="T109" s="33">
        <f>SUM(T106:T108)</f>
        <v>-1376012.7776846155</v>
      </c>
      <c r="U109" s="13"/>
      <c r="V109" s="30">
        <f>IF(T$12=0,0,T109/T$12)</f>
        <v>0</v>
      </c>
      <c r="W109" s="16"/>
      <c r="X109" s="33">
        <f>+P109-T109</f>
        <v>635636.51768461522</v>
      </c>
      <c r="Y109" s="16"/>
      <c r="Z109" s="30">
        <f>IF(T109=0,0,X109/T109)</f>
        <v>-0.46194085403348212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5">
        <v>44174.678994756941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7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3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-368849.51000000007</v>
      </c>
      <c r="E18" s="19"/>
      <c r="F18" s="35">
        <f t="shared" ref="F18:F29" si="0">IF(D$12=0,0,D18/D$12)</f>
        <v>0</v>
      </c>
      <c r="G18" s="19"/>
      <c r="H18" s="19">
        <f>SUM(OSRRefH22x_0)</f>
        <v>50337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-419186.51000000007</v>
      </c>
      <c r="M18" s="4"/>
      <c r="N18" s="35">
        <f t="shared" ref="N18:N29" si="3">IF(H18=0,0,L18/H18)</f>
        <v>-8.3276021614319493</v>
      </c>
      <c r="O18" s="10"/>
      <c r="P18" s="19">
        <f>SUM(OSRRefP22x_0)</f>
        <v>-213840.4</v>
      </c>
      <c r="Q18" s="19"/>
      <c r="R18" s="35">
        <f t="shared" ref="R18:R29" si="4">IF(P$12=0,0,P18/P$12)</f>
        <v>0</v>
      </c>
      <c r="S18" s="19"/>
      <c r="T18" s="19">
        <f>SUM(OSRRefT22x_0)</f>
        <v>247385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-461225.4</v>
      </c>
      <c r="Y18" s="4"/>
      <c r="Z18" s="35">
        <f t="shared" ref="Z18:Z29" si="7">IF(T18=0,0,X18/T18)</f>
        <v>-1.8644032580795118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-369662.33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-401662.33</v>
      </c>
      <c r="M19" s="1"/>
      <c r="N19" s="5">
        <f t="shared" si="3"/>
        <v>-12.5519478125</v>
      </c>
      <c r="O19" s="14"/>
      <c r="P19" s="1">
        <f>SUM(OSRRefP22_0x_0)</f>
        <v>-247256.65</v>
      </c>
      <c r="Q19" s="1"/>
      <c r="R19" s="5">
        <f t="shared" si="4"/>
        <v>0</v>
      </c>
      <c r="S19" s="1"/>
      <c r="T19" s="1">
        <f>SUM(OSRRefT22_0x_0)</f>
        <v>160000</v>
      </c>
      <c r="U19" s="1"/>
      <c r="V19" s="5">
        <f t="shared" si="5"/>
        <v>0</v>
      </c>
      <c r="W19" s="1"/>
      <c r="X19" s="1">
        <f t="shared" si="6"/>
        <v>-407256.65</v>
      </c>
      <c r="Y19" s="1"/>
      <c r="Z19" s="5">
        <f t="shared" si="7"/>
        <v>-2.5453540625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6">
        <v>-369662.33</v>
      </c>
      <c r="E20" s="2"/>
      <c r="F20" s="7">
        <f t="shared" si="0"/>
        <v>0</v>
      </c>
      <c r="G20" s="2"/>
      <c r="H20" s="6">
        <v>32000</v>
      </c>
      <c r="I20" s="2"/>
      <c r="J20" s="7">
        <f t="shared" si="1"/>
        <v>0</v>
      </c>
      <c r="K20" s="2"/>
      <c r="L20" s="6">
        <f t="shared" si="2"/>
        <v>-401662.33</v>
      </c>
      <c r="M20" s="2"/>
      <c r="N20" s="7">
        <f t="shared" si="3"/>
        <v>-12.5519478125</v>
      </c>
      <c r="O20" s="11"/>
      <c r="P20" s="6">
        <v>-247256.65</v>
      </c>
      <c r="Q20" s="2"/>
      <c r="R20" s="7">
        <f t="shared" si="4"/>
        <v>0</v>
      </c>
      <c r="S20" s="2"/>
      <c r="T20" s="6">
        <v>160000</v>
      </c>
      <c r="U20" s="2"/>
      <c r="V20" s="7">
        <f t="shared" si="5"/>
        <v>0</v>
      </c>
      <c r="W20" s="2"/>
      <c r="X20" s="6">
        <f t="shared" si="6"/>
        <v>-407256.65</v>
      </c>
      <c r="Y20" s="2"/>
      <c r="Z20" s="7">
        <f t="shared" si="7"/>
        <v>-2.5453540625</v>
      </c>
    </row>
    <row r="21" spans="1:26" s="29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-13.34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-1013.34</v>
      </c>
      <c r="M21" s="1"/>
      <c r="N21" s="5">
        <f t="shared" si="3"/>
        <v>-1.0133400000000001</v>
      </c>
      <c r="O21" s="14"/>
      <c r="P21" s="1">
        <f>SUM(OSRRefP22_1x_0)</f>
        <v>2897.58</v>
      </c>
      <c r="Q21" s="1"/>
      <c r="R21" s="5">
        <f t="shared" si="4"/>
        <v>0</v>
      </c>
      <c r="S21" s="1"/>
      <c r="T21" s="1">
        <f>SUM(OSRRefT22_1x_0)</f>
        <v>34000</v>
      </c>
      <c r="U21" s="1"/>
      <c r="V21" s="5">
        <f t="shared" si="5"/>
        <v>0</v>
      </c>
      <c r="W21" s="1"/>
      <c r="X21" s="1">
        <f t="shared" si="6"/>
        <v>-31102.42</v>
      </c>
      <c r="Y21" s="1"/>
      <c r="Z21" s="5">
        <f t="shared" si="7"/>
        <v>-0.91477705882352933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6">
        <v>-13.34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-1013.34</v>
      </c>
      <c r="M22" s="2"/>
      <c r="N22" s="7">
        <f t="shared" si="3"/>
        <v>-1.0133400000000001</v>
      </c>
      <c r="O22" s="11"/>
      <c r="P22" s="6">
        <v>2897.58</v>
      </c>
      <c r="Q22" s="2"/>
      <c r="R22" s="7">
        <f t="shared" si="4"/>
        <v>0</v>
      </c>
      <c r="S22" s="2"/>
      <c r="T22" s="6">
        <v>34000</v>
      </c>
      <c r="U22" s="2"/>
      <c r="V22" s="7">
        <f t="shared" si="5"/>
        <v>0</v>
      </c>
      <c r="W22" s="2"/>
      <c r="X22" s="6">
        <f t="shared" si="6"/>
        <v>-31102.42</v>
      </c>
      <c r="Y22" s="2"/>
      <c r="Z22" s="7">
        <f t="shared" si="7"/>
        <v>-0.91477705882352933</v>
      </c>
    </row>
    <row r="23" spans="1:26" s="29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601.16</v>
      </c>
      <c r="E23" s="1"/>
      <c r="F23" s="5">
        <f t="shared" si="0"/>
        <v>0</v>
      </c>
      <c r="G23" s="1"/>
      <c r="H23" s="1">
        <f>SUM(OSRRefH22_2x_0)</f>
        <v>2337</v>
      </c>
      <c r="I23" s="1"/>
      <c r="J23" s="5">
        <f t="shared" si="1"/>
        <v>0</v>
      </c>
      <c r="K23" s="1"/>
      <c r="L23" s="1">
        <f t="shared" si="2"/>
        <v>-1735.8400000000001</v>
      </c>
      <c r="M23" s="1"/>
      <c r="N23" s="5">
        <f t="shared" si="3"/>
        <v>-0.74276422764227645</v>
      </c>
      <c r="O23" s="14"/>
      <c r="P23" s="1">
        <f>SUM(OSRRefP22_2x_0)</f>
        <v>7122.17</v>
      </c>
      <c r="Q23" s="1"/>
      <c r="R23" s="5">
        <f t="shared" si="4"/>
        <v>0</v>
      </c>
      <c r="S23" s="1"/>
      <c r="T23" s="1">
        <f>SUM(OSRRefT22_2x_0)</f>
        <v>11385</v>
      </c>
      <c r="U23" s="1"/>
      <c r="V23" s="5">
        <f t="shared" si="5"/>
        <v>0</v>
      </c>
      <c r="W23" s="1"/>
      <c r="X23" s="1">
        <f t="shared" si="6"/>
        <v>-4262.83</v>
      </c>
      <c r="Y23" s="1"/>
      <c r="Z23" s="5">
        <f t="shared" si="7"/>
        <v>-0.37442512077294687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6">
        <v>601.16</v>
      </c>
      <c r="E24" s="2"/>
      <c r="F24" s="7">
        <f t="shared" si="0"/>
        <v>0</v>
      </c>
      <c r="G24" s="2"/>
      <c r="H24" s="6">
        <v>2337</v>
      </c>
      <c r="I24" s="2"/>
      <c r="J24" s="7">
        <f t="shared" si="1"/>
        <v>0</v>
      </c>
      <c r="K24" s="2"/>
      <c r="L24" s="6">
        <f t="shared" si="2"/>
        <v>-1735.8400000000001</v>
      </c>
      <c r="M24" s="2"/>
      <c r="N24" s="7">
        <f t="shared" si="3"/>
        <v>-0.74276422764227645</v>
      </c>
      <c r="O24" s="11"/>
      <c r="P24" s="6">
        <v>7122.17</v>
      </c>
      <c r="Q24" s="2"/>
      <c r="R24" s="7">
        <f t="shared" si="4"/>
        <v>0</v>
      </c>
      <c r="S24" s="2"/>
      <c r="T24" s="6">
        <v>11385</v>
      </c>
      <c r="U24" s="2"/>
      <c r="V24" s="7">
        <f t="shared" si="5"/>
        <v>0</v>
      </c>
      <c r="W24" s="2"/>
      <c r="X24" s="6">
        <f t="shared" si="6"/>
        <v>-4262.83</v>
      </c>
      <c r="Y24" s="2"/>
      <c r="Z24" s="7">
        <f t="shared" si="7"/>
        <v>-0.37442512077294687</v>
      </c>
    </row>
    <row r="25" spans="1:26" s="29" customFormat="1" outlineLevel="1" collapsed="1" x14ac:dyDescent="0.25">
      <c r="A25" s="27"/>
      <c r="B25" s="14" t="str">
        <f>CONCATENATE("     ","Donations                                         ")</f>
        <v xml:space="preserve">     Donations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8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9" customFormat="1" outlineLevel="1" collapsed="1" x14ac:dyDescent="0.25">
      <c r="A27" s="27"/>
      <c r="B27" s="14" t="str">
        <f>CONCATENATE("     ","Professional Services                             ")</f>
        <v xml:space="preserve">     Professional Services                             </v>
      </c>
      <c r="C27" s="14"/>
      <c r="D27" s="1">
        <f>SUM(OSRRefD22_4x_0)</f>
        <v>225</v>
      </c>
      <c r="E27" s="1"/>
      <c r="F27" s="5">
        <f t="shared" si="0"/>
        <v>0</v>
      </c>
      <c r="G27" s="1"/>
      <c r="H27" s="1">
        <f>SUM(OSRRefH22_4x_0)</f>
        <v>15000</v>
      </c>
      <c r="I27" s="1"/>
      <c r="J27" s="5">
        <f t="shared" si="1"/>
        <v>0</v>
      </c>
      <c r="K27" s="1"/>
      <c r="L27" s="1">
        <f t="shared" si="2"/>
        <v>-14775</v>
      </c>
      <c r="M27" s="1"/>
      <c r="N27" s="5">
        <f t="shared" si="3"/>
        <v>-0.98499999999999999</v>
      </c>
      <c r="O27" s="14"/>
      <c r="P27" s="1">
        <f>SUM(OSRRefP22_4x_0)</f>
        <v>23396.5</v>
      </c>
      <c r="Q27" s="1"/>
      <c r="R27" s="5">
        <f t="shared" si="4"/>
        <v>0</v>
      </c>
      <c r="S27" s="1"/>
      <c r="T27" s="1">
        <f>SUM(OSRRefT22_4x_0)</f>
        <v>42000</v>
      </c>
      <c r="U27" s="1"/>
      <c r="V27" s="5">
        <f t="shared" si="5"/>
        <v>0</v>
      </c>
      <c r="W27" s="1"/>
      <c r="X27" s="1">
        <f t="shared" si="6"/>
        <v>-18603.5</v>
      </c>
      <c r="Y27" s="1"/>
      <c r="Z27" s="5">
        <f t="shared" si="7"/>
        <v>-0.44294047619047622</v>
      </c>
    </row>
    <row r="28" spans="1:26" s="24" customFormat="1" hidden="1" outlineLevel="2" x14ac:dyDescent="0.25">
      <c r="A28" s="28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225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225</v>
      </c>
      <c r="M28" s="2"/>
      <c r="N28" s="7">
        <f t="shared" si="3"/>
        <v>0</v>
      </c>
      <c r="O28" s="11"/>
      <c r="P28" s="6">
        <v>23396.5</v>
      </c>
      <c r="Q28" s="2"/>
      <c r="R28" s="7">
        <f t="shared" si="4"/>
        <v>0</v>
      </c>
      <c r="S28" s="2"/>
      <c r="T28" s="6">
        <v>27000</v>
      </c>
      <c r="U28" s="2"/>
      <c r="V28" s="7">
        <f t="shared" si="5"/>
        <v>0</v>
      </c>
      <c r="W28" s="2"/>
      <c r="X28" s="6">
        <f t="shared" si="6"/>
        <v>-3603.5</v>
      </c>
      <c r="Y28" s="2"/>
      <c r="Z28" s="7">
        <f t="shared" si="7"/>
        <v>-0.13346296296296295</v>
      </c>
    </row>
    <row r="29" spans="1:26" s="24" customFormat="1" hidden="1" outlineLevel="2" x14ac:dyDescent="0.25">
      <c r="A29" s="28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15000</v>
      </c>
      <c r="I29" s="2"/>
      <c r="J29" s="7">
        <f t="shared" si="1"/>
        <v>0</v>
      </c>
      <c r="K29" s="2"/>
      <c r="L29" s="6">
        <f t="shared" si="2"/>
        <v>-15000</v>
      </c>
      <c r="M29" s="2"/>
      <c r="N29" s="7">
        <f t="shared" si="3"/>
        <v>-1</v>
      </c>
      <c r="O29" s="11"/>
      <c r="P29" s="6"/>
      <c r="Q29" s="2"/>
      <c r="R29" s="7">
        <f t="shared" si="4"/>
        <v>0</v>
      </c>
      <c r="S29" s="2"/>
      <c r="T29" s="6">
        <v>15000</v>
      </c>
      <c r="U29" s="2"/>
      <c r="V29" s="7">
        <f t="shared" si="5"/>
        <v>0</v>
      </c>
      <c r="W29" s="2"/>
      <c r="X29" s="6">
        <f t="shared" si="6"/>
        <v>-15000</v>
      </c>
      <c r="Y29" s="2"/>
      <c r="Z29" s="7">
        <f t="shared" si="7"/>
        <v>-1</v>
      </c>
    </row>
    <row r="30" spans="1:26" s="62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3</v>
      </c>
      <c r="C33" s="25"/>
      <c r="D33" s="21">
        <f>+D16-D18+D31</f>
        <v>368849.51000000007</v>
      </c>
      <c r="E33" s="13"/>
      <c r="F33" s="20">
        <f>IF(D$12=0,0,D33/D$12)</f>
        <v>0</v>
      </c>
      <c r="G33" s="13"/>
      <c r="H33" s="21">
        <f>+H16-H18+H31</f>
        <v>-50337</v>
      </c>
      <c r="I33" s="13"/>
      <c r="J33" s="20">
        <f>IF(H$12=0,0,H33/H$12)</f>
        <v>0</v>
      </c>
      <c r="K33" s="16"/>
      <c r="L33" s="21">
        <f>+D33-H33</f>
        <v>419186.51000000007</v>
      </c>
      <c r="M33" s="16"/>
      <c r="N33" s="20">
        <f>IF(H33=0,0,L33/H33)</f>
        <v>-8.3276021614319493</v>
      </c>
      <c r="O33" s="26"/>
      <c r="P33" s="21">
        <f>+P16-P18+P31</f>
        <v>213840.4</v>
      </c>
      <c r="Q33" s="13"/>
      <c r="R33" s="20">
        <f>IF(P$12=0,0,P33/P$12)</f>
        <v>0</v>
      </c>
      <c r="S33" s="13"/>
      <c r="T33" s="21">
        <f>+T16-T18+T31</f>
        <v>-247385</v>
      </c>
      <c r="U33" s="13"/>
      <c r="V33" s="20">
        <f>IF(T$12=0,0,T33/T$12)</f>
        <v>0</v>
      </c>
      <c r="W33" s="16"/>
      <c r="X33" s="21">
        <f>+P33-T33</f>
        <v>461225.4</v>
      </c>
      <c r="Y33" s="16"/>
      <c r="Z33" s="20">
        <f>IF(T33=0,0,X33/T33)</f>
        <v>-1.8644032580795118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4</v>
      </c>
      <c r="C37" s="25"/>
      <c r="D37" s="31">
        <f>+D33-D35</f>
        <v>368849.51000000007</v>
      </c>
      <c r="E37" s="13"/>
      <c r="F37" s="34">
        <f>IF(D$12=0,0,D37/D$12)</f>
        <v>0</v>
      </c>
      <c r="G37" s="13"/>
      <c r="H37" s="31">
        <f>+H33-H35</f>
        <v>-50337</v>
      </c>
      <c r="I37" s="13"/>
      <c r="J37" s="34">
        <f>IF(H$12=0,0,H37/H$12)</f>
        <v>0</v>
      </c>
      <c r="K37" s="16"/>
      <c r="L37" s="31">
        <f>D37-H37</f>
        <v>419186.51000000007</v>
      </c>
      <c r="M37" s="16"/>
      <c r="N37" s="34">
        <f>IF(H37=0,0,L37/H37)</f>
        <v>-8.3276021614319493</v>
      </c>
      <c r="O37" s="26"/>
      <c r="P37" s="31">
        <f>+P33-P35</f>
        <v>213840.4</v>
      </c>
      <c r="Q37" s="13"/>
      <c r="R37" s="34">
        <f>IF(P$12=0,0,P37/P$12)</f>
        <v>0</v>
      </c>
      <c r="S37" s="13"/>
      <c r="T37" s="31">
        <f>+T33-T35</f>
        <v>-247385</v>
      </c>
      <c r="U37" s="13"/>
      <c r="V37" s="34">
        <f>IF(T$12=0,0,T37/T$12)</f>
        <v>0</v>
      </c>
      <c r="W37" s="16"/>
      <c r="X37" s="31">
        <f>P37-T37</f>
        <v>461225.4</v>
      </c>
      <c r="Y37" s="16"/>
      <c r="Z37" s="34">
        <f>IF(T37=0,0,X37/T37)</f>
        <v>-1.8644032580795118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5" t="s">
        <v>5</v>
      </c>
      <c r="C40" s="25"/>
      <c r="D40" s="33">
        <f>SUM(D37:D39)</f>
        <v>368849.51000000007</v>
      </c>
      <c r="E40" s="13"/>
      <c r="F40" s="30">
        <f>IF(D$12=0,0,D40/D$12)</f>
        <v>0</v>
      </c>
      <c r="G40" s="13"/>
      <c r="H40" s="33">
        <f>SUM(H37:H39)</f>
        <v>-50337</v>
      </c>
      <c r="I40" s="13"/>
      <c r="J40" s="30">
        <f>IF(H$12=0,0,H40/H$12)</f>
        <v>0</v>
      </c>
      <c r="K40" s="16"/>
      <c r="L40" s="33">
        <f>+D40-H40</f>
        <v>419186.51000000007</v>
      </c>
      <c r="M40" s="16"/>
      <c r="N40" s="30">
        <f>IF(H40=0,0,L40/H40)</f>
        <v>-8.3276021614319493</v>
      </c>
      <c r="O40" s="26"/>
      <c r="P40" s="33">
        <f>SUM(P37:P39)</f>
        <v>213840.4</v>
      </c>
      <c r="Q40" s="13"/>
      <c r="R40" s="30">
        <f>IF(P$12=0,0,P40/P$12)</f>
        <v>0</v>
      </c>
      <c r="S40" s="13"/>
      <c r="T40" s="33">
        <f>SUM(T37:T39)</f>
        <v>-247385</v>
      </c>
      <c r="U40" s="13"/>
      <c r="V40" s="30">
        <f>IF(T$12=0,0,T40/T$12)</f>
        <v>0</v>
      </c>
      <c r="W40" s="16"/>
      <c r="X40" s="33">
        <f>+P40-T40</f>
        <v>461225.4</v>
      </c>
      <c r="Y40" s="16"/>
      <c r="Z40" s="30">
        <f>IF(T40=0,0,X40/T40)</f>
        <v>-1.8644032580795118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5">
        <v>44174.679307094906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7" t="s">
        <v>314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63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45348.319999999992</v>
      </c>
      <c r="E19" s="19"/>
      <c r="F19" s="35">
        <f t="shared" ref="F19:F29" si="4">IF(D$12=0,0,D19/D$12)</f>
        <v>0</v>
      </c>
      <c r="G19" s="19"/>
      <c r="H19" s="19">
        <f>SUM(OSRRefH22x_0)</f>
        <v>61243.75790769227</v>
      </c>
      <c r="I19" s="19"/>
      <c r="J19" s="35">
        <f t="shared" ref="J19:J29" si="5">IF(H$12=0,0,H19/H$12)</f>
        <v>0</v>
      </c>
      <c r="K19" s="4"/>
      <c r="L19" s="19">
        <f t="shared" ref="L19:L29" si="6">+D19-H19</f>
        <v>-15895.437907692278</v>
      </c>
      <c r="M19" s="4"/>
      <c r="N19" s="35">
        <f t="shared" ref="N19:N29" si="7">IF(H19=0,0,L19/H19)</f>
        <v>-0.25954380414817418</v>
      </c>
      <c r="O19" s="10"/>
      <c r="P19" s="19">
        <f>SUM(OSRRefP22x_0)</f>
        <v>187915.14</v>
      </c>
      <c r="Q19" s="19"/>
      <c r="R19" s="35">
        <f t="shared" ref="R19:R29" si="8">IF(P$12=0,0,P19/P$12)</f>
        <v>0</v>
      </c>
      <c r="S19" s="19"/>
      <c r="T19" s="19">
        <f>SUM(OSRRefT22x_0)</f>
        <v>261774.44729230754</v>
      </c>
      <c r="U19" s="19"/>
      <c r="V19" s="35">
        <f t="shared" ref="V19:V29" si="9">IF(T$12=0,0,T19/T$12)</f>
        <v>0</v>
      </c>
      <c r="W19" s="4"/>
      <c r="X19" s="19">
        <f t="shared" ref="X19:X29" si="10">+P19-T19</f>
        <v>-73859.307292307523</v>
      </c>
      <c r="Y19" s="4"/>
      <c r="Z19" s="35">
        <f t="shared" ref="Z19:Z29" si="11">IF(T19=0,0,X19/T19)</f>
        <v>-0.28214865146800727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13020.759999999998</v>
      </c>
      <c r="E20" s="1"/>
      <c r="F20" s="5">
        <f t="shared" si="4"/>
        <v>0</v>
      </c>
      <c r="G20" s="1"/>
      <c r="H20" s="1">
        <f>SUM(OSRRefH22_0x_0)</f>
        <v>8500.0656000000054</v>
      </c>
      <c r="I20" s="1"/>
      <c r="J20" s="5">
        <f t="shared" si="5"/>
        <v>0</v>
      </c>
      <c r="K20" s="1"/>
      <c r="L20" s="1">
        <f t="shared" si="6"/>
        <v>4520.694399999993</v>
      </c>
      <c r="M20" s="1"/>
      <c r="N20" s="5">
        <f t="shared" si="7"/>
        <v>0.53184229542887174</v>
      </c>
      <c r="O20" s="14"/>
      <c r="P20" s="1">
        <f>SUM(OSRRefP22_0x_0)</f>
        <v>56115.1</v>
      </c>
      <c r="Q20" s="1"/>
      <c r="R20" s="5">
        <f t="shared" si="8"/>
        <v>0</v>
      </c>
      <c r="S20" s="1"/>
      <c r="T20" s="1">
        <f>SUM(OSRRefT22_0x_0)</f>
        <v>44532.13960000001</v>
      </c>
      <c r="U20" s="1"/>
      <c r="V20" s="5">
        <f t="shared" si="9"/>
        <v>0</v>
      </c>
      <c r="W20" s="1"/>
      <c r="X20" s="1">
        <f t="shared" si="10"/>
        <v>11582.960399999989</v>
      </c>
      <c r="Y20" s="1"/>
      <c r="Z20" s="5">
        <f t="shared" si="11"/>
        <v>0.26010338834022667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646.23</v>
      </c>
      <c r="E21" s="2"/>
      <c r="F21" s="7">
        <f t="shared" si="4"/>
        <v>0</v>
      </c>
      <c r="G21" s="2"/>
      <c r="H21" s="6">
        <v>1522.1228307692299</v>
      </c>
      <c r="I21" s="2"/>
      <c r="J21" s="7">
        <f t="shared" si="5"/>
        <v>0</v>
      </c>
      <c r="K21" s="2"/>
      <c r="L21" s="6">
        <f t="shared" si="6"/>
        <v>-875.89283076922993</v>
      </c>
      <c r="M21" s="2"/>
      <c r="N21" s="7">
        <f t="shared" si="7"/>
        <v>-0.57544162209733296</v>
      </c>
      <c r="O21" s="11"/>
      <c r="P21" s="6">
        <v>6346.63</v>
      </c>
      <c r="Q21" s="2"/>
      <c r="R21" s="7">
        <f t="shared" si="8"/>
        <v>0</v>
      </c>
      <c r="S21" s="2"/>
      <c r="T21" s="6">
        <v>8093.1063692307689</v>
      </c>
      <c r="U21" s="2"/>
      <c r="V21" s="7">
        <f t="shared" si="9"/>
        <v>0</v>
      </c>
      <c r="W21" s="2"/>
      <c r="X21" s="6">
        <f t="shared" si="10"/>
        <v>-1746.4763692307688</v>
      </c>
      <c r="Y21" s="2"/>
      <c r="Z21" s="7">
        <f t="shared" si="11"/>
        <v>-0.21579802483144273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193.48</v>
      </c>
      <c r="E22" s="2"/>
      <c r="F22" s="7">
        <f t="shared" si="4"/>
        <v>0</v>
      </c>
      <c r="G22" s="2"/>
      <c r="H22" s="6">
        <v>61.938461538461596</v>
      </c>
      <c r="I22" s="2"/>
      <c r="J22" s="7">
        <f t="shared" si="5"/>
        <v>0</v>
      </c>
      <c r="K22" s="2"/>
      <c r="L22" s="6">
        <f t="shared" si="6"/>
        <v>131.54153846153838</v>
      </c>
      <c r="M22" s="2"/>
      <c r="N22" s="7">
        <f t="shared" si="7"/>
        <v>2.1237456532538466</v>
      </c>
      <c r="O22" s="11"/>
      <c r="P22" s="6">
        <v>443.23</v>
      </c>
      <c r="Q22" s="2"/>
      <c r="R22" s="7">
        <f t="shared" si="8"/>
        <v>0</v>
      </c>
      <c r="S22" s="2"/>
      <c r="T22" s="6">
        <v>340.66153846153861</v>
      </c>
      <c r="U22" s="2"/>
      <c r="V22" s="7">
        <f t="shared" si="9"/>
        <v>0</v>
      </c>
      <c r="W22" s="2"/>
      <c r="X22" s="6">
        <f t="shared" si="10"/>
        <v>102.56846153846141</v>
      </c>
      <c r="Y22" s="2"/>
      <c r="Z22" s="7">
        <f t="shared" si="11"/>
        <v>0.30108612202501867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4070.76</v>
      </c>
      <c r="E23" s="2"/>
      <c r="F23" s="7">
        <f t="shared" si="4"/>
        <v>0</v>
      </c>
      <c r="G23" s="2"/>
      <c r="H23" s="6">
        <v>3365</v>
      </c>
      <c r="I23" s="2"/>
      <c r="J23" s="7">
        <f t="shared" si="5"/>
        <v>0</v>
      </c>
      <c r="K23" s="2"/>
      <c r="L23" s="6">
        <f t="shared" si="6"/>
        <v>705.76000000000022</v>
      </c>
      <c r="M23" s="2"/>
      <c r="N23" s="7">
        <f t="shared" si="7"/>
        <v>0.20973551263001491</v>
      </c>
      <c r="O23" s="11"/>
      <c r="P23" s="6">
        <v>20248.48</v>
      </c>
      <c r="Q23" s="2"/>
      <c r="R23" s="7">
        <f t="shared" si="8"/>
        <v>0</v>
      </c>
      <c r="S23" s="2"/>
      <c r="T23" s="6">
        <v>16825</v>
      </c>
      <c r="U23" s="2"/>
      <c r="V23" s="7">
        <f t="shared" si="9"/>
        <v>0</v>
      </c>
      <c r="W23" s="2"/>
      <c r="X23" s="6">
        <f t="shared" si="10"/>
        <v>3423.4799999999996</v>
      </c>
      <c r="Y23" s="2"/>
      <c r="Z23" s="7">
        <f t="shared" si="11"/>
        <v>0.20347578008915301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152.44</v>
      </c>
      <c r="E24" s="2"/>
      <c r="F24" s="7">
        <f t="shared" si="4"/>
        <v>0</v>
      </c>
      <c r="G24" s="2"/>
      <c r="H24" s="6">
        <v>51.712000000000003</v>
      </c>
      <c r="I24" s="2"/>
      <c r="J24" s="7">
        <f t="shared" si="5"/>
        <v>0</v>
      </c>
      <c r="K24" s="2"/>
      <c r="L24" s="6">
        <f t="shared" si="6"/>
        <v>100.72799999999999</v>
      </c>
      <c r="M24" s="2"/>
      <c r="N24" s="7">
        <f t="shared" si="7"/>
        <v>1.9478650990099007</v>
      </c>
      <c r="O24" s="11"/>
      <c r="P24" s="6">
        <v>349.22</v>
      </c>
      <c r="Q24" s="2"/>
      <c r="R24" s="7">
        <f t="shared" si="8"/>
        <v>0</v>
      </c>
      <c r="S24" s="2"/>
      <c r="T24" s="6">
        <v>277.86399999999998</v>
      </c>
      <c r="U24" s="2"/>
      <c r="V24" s="7">
        <f t="shared" si="9"/>
        <v>0</v>
      </c>
      <c r="W24" s="2"/>
      <c r="X24" s="6">
        <f t="shared" si="10"/>
        <v>71.356000000000051</v>
      </c>
      <c r="Y24" s="2"/>
      <c r="Z24" s="7">
        <f t="shared" si="11"/>
        <v>0.25680188869374965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5386.36</v>
      </c>
      <c r="E25" s="2"/>
      <c r="F25" s="7">
        <f t="shared" si="4"/>
        <v>0</v>
      </c>
      <c r="G25" s="2"/>
      <c r="H25" s="6">
        <v>1614.1538461538501</v>
      </c>
      <c r="I25" s="2"/>
      <c r="J25" s="7">
        <f t="shared" si="5"/>
        <v>0</v>
      </c>
      <c r="K25" s="2"/>
      <c r="L25" s="6">
        <f t="shared" si="6"/>
        <v>3772.2061538461494</v>
      </c>
      <c r="M25" s="2"/>
      <c r="N25" s="7">
        <f t="shared" si="7"/>
        <v>2.3369557758291948</v>
      </c>
      <c r="O25" s="11"/>
      <c r="P25" s="6">
        <v>14607</v>
      </c>
      <c r="Q25" s="2"/>
      <c r="R25" s="7">
        <f t="shared" si="8"/>
        <v>0</v>
      </c>
      <c r="S25" s="2"/>
      <c r="T25" s="6">
        <v>8877.8461538461688</v>
      </c>
      <c r="U25" s="2"/>
      <c r="V25" s="7">
        <f t="shared" si="9"/>
        <v>0</v>
      </c>
      <c r="W25" s="2"/>
      <c r="X25" s="6">
        <f t="shared" si="10"/>
        <v>5729.1538461538312</v>
      </c>
      <c r="Y25" s="2"/>
      <c r="Z25" s="7">
        <f t="shared" si="11"/>
        <v>0.64533150798876793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1658.98</v>
      </c>
      <c r="E27" s="2"/>
      <c r="F27" s="7">
        <f t="shared" si="4"/>
        <v>0</v>
      </c>
      <c r="G27" s="2"/>
      <c r="H27" s="6">
        <v>938.46153846153913</v>
      </c>
      <c r="I27" s="2"/>
      <c r="J27" s="7">
        <f t="shared" si="5"/>
        <v>0</v>
      </c>
      <c r="K27" s="2"/>
      <c r="L27" s="6">
        <f t="shared" si="6"/>
        <v>720.51846153846088</v>
      </c>
      <c r="M27" s="2"/>
      <c r="N27" s="7">
        <f t="shared" si="7"/>
        <v>0.76776557377049059</v>
      </c>
      <c r="O27" s="11"/>
      <c r="P27" s="6">
        <v>9124.39</v>
      </c>
      <c r="Q27" s="2"/>
      <c r="R27" s="7">
        <f t="shared" si="8"/>
        <v>0</v>
      </c>
      <c r="S27" s="2"/>
      <c r="T27" s="6">
        <v>5161.5384615384573</v>
      </c>
      <c r="U27" s="2"/>
      <c r="V27" s="7">
        <f t="shared" si="9"/>
        <v>0</v>
      </c>
      <c r="W27" s="2"/>
      <c r="X27" s="6">
        <f t="shared" si="10"/>
        <v>3962.8515384615421</v>
      </c>
      <c r="Y27" s="2"/>
      <c r="Z27" s="7">
        <f t="shared" si="11"/>
        <v>0.76776557377049315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856.8</v>
      </c>
      <c r="E28" s="2"/>
      <c r="F28" s="7">
        <f t="shared" si="4"/>
        <v>0</v>
      </c>
      <c r="G28" s="2"/>
      <c r="H28" s="6">
        <v>596.676923076923</v>
      </c>
      <c r="I28" s="2"/>
      <c r="J28" s="7">
        <f t="shared" si="5"/>
        <v>0</v>
      </c>
      <c r="K28" s="2"/>
      <c r="L28" s="6">
        <f t="shared" si="6"/>
        <v>260.12307692307695</v>
      </c>
      <c r="M28" s="2"/>
      <c r="N28" s="7">
        <f t="shared" si="7"/>
        <v>0.43595297029702978</v>
      </c>
      <c r="O28" s="11"/>
      <c r="P28" s="6">
        <v>4712.3999999999996</v>
      </c>
      <c r="Q28" s="2"/>
      <c r="R28" s="7">
        <f t="shared" si="8"/>
        <v>0</v>
      </c>
      <c r="S28" s="2"/>
      <c r="T28" s="6">
        <v>3206.123076923077</v>
      </c>
      <c r="U28" s="2"/>
      <c r="V28" s="7">
        <f t="shared" si="9"/>
        <v>0</v>
      </c>
      <c r="W28" s="2"/>
      <c r="X28" s="6">
        <f t="shared" si="10"/>
        <v>1506.2769230769227</v>
      </c>
      <c r="Y28" s="2"/>
      <c r="Z28" s="7">
        <f t="shared" si="11"/>
        <v>0.46981257017821654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55.71</v>
      </c>
      <c r="E29" s="2"/>
      <c r="F29" s="7">
        <f t="shared" si="4"/>
        <v>0</v>
      </c>
      <c r="G29" s="2"/>
      <c r="H29" s="6">
        <v>350</v>
      </c>
      <c r="I29" s="2"/>
      <c r="J29" s="7">
        <f t="shared" si="5"/>
        <v>0</v>
      </c>
      <c r="K29" s="2"/>
      <c r="L29" s="6">
        <f t="shared" si="6"/>
        <v>-294.29000000000002</v>
      </c>
      <c r="M29" s="2"/>
      <c r="N29" s="7">
        <f t="shared" si="7"/>
        <v>-0.84082857142857148</v>
      </c>
      <c r="O29" s="11"/>
      <c r="P29" s="6">
        <v>283.75</v>
      </c>
      <c r="Q29" s="2"/>
      <c r="R29" s="7">
        <f t="shared" si="8"/>
        <v>0</v>
      </c>
      <c r="S29" s="2"/>
      <c r="T29" s="6">
        <v>1750</v>
      </c>
      <c r="U29" s="2"/>
      <c r="V29" s="7">
        <f t="shared" si="9"/>
        <v>0</v>
      </c>
      <c r="W29" s="2"/>
      <c r="X29" s="6">
        <f t="shared" si="10"/>
        <v>-1466.25</v>
      </c>
      <c r="Y29" s="2"/>
      <c r="Z29" s="7">
        <f t="shared" si="11"/>
        <v>-0.83785714285714286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16934.41</v>
      </c>
      <c r="E30" s="1"/>
      <c r="F30" s="5">
        <f t="shared" ref="F30:F40" si="12">IF(D$12=0,0,D30/D$12)</f>
        <v>0</v>
      </c>
      <c r="G30" s="1"/>
      <c r="H30" s="1">
        <f>SUM(OSRRefH22_1x_0)</f>
        <v>18387.692307692269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-1453.2823076922687</v>
      </c>
      <c r="M30" s="1"/>
      <c r="N30" s="5">
        <f t="shared" ref="N30:N40" si="15">IF(H30=0,0,L30/H30)</f>
        <v>-7.9035600736276496E-2</v>
      </c>
      <c r="O30" s="14"/>
      <c r="P30" s="1">
        <f>SUM(OSRRefP22_1x_0)</f>
        <v>50397.46</v>
      </c>
      <c r="Q30" s="1"/>
      <c r="R30" s="5">
        <f t="shared" ref="R30:R40" si="16">IF(P$12=0,0,P30/P$12)</f>
        <v>0</v>
      </c>
      <c r="S30" s="1"/>
      <c r="T30" s="1">
        <f>SUM(OSRRefT22_1x_0)</f>
        <v>98612.307692307528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-48214.847692307529</v>
      </c>
      <c r="Y30" s="1"/>
      <c r="Z30" s="5">
        <f t="shared" ref="Z30:Z40" si="19">IF(T30=0,0,X30/T30)</f>
        <v>-0.48893336765577627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12772.4</v>
      </c>
      <c r="E31" s="2"/>
      <c r="F31" s="7">
        <f t="shared" si="12"/>
        <v>0</v>
      </c>
      <c r="G31" s="2"/>
      <c r="H31" s="6">
        <v>12738.461538461499</v>
      </c>
      <c r="I31" s="2"/>
      <c r="J31" s="7">
        <f t="shared" si="13"/>
        <v>0</v>
      </c>
      <c r="K31" s="2"/>
      <c r="L31" s="6">
        <f t="shared" si="14"/>
        <v>33.938461538500633</v>
      </c>
      <c r="M31" s="2"/>
      <c r="N31" s="7">
        <f t="shared" si="15"/>
        <v>2.6642512077325459E-3</v>
      </c>
      <c r="O31" s="11"/>
      <c r="P31" s="6">
        <v>72983.97</v>
      </c>
      <c r="Q31" s="2"/>
      <c r="R31" s="7">
        <f t="shared" si="16"/>
        <v>0</v>
      </c>
      <c r="S31" s="2"/>
      <c r="T31" s="6">
        <v>70061.538461538294</v>
      </c>
      <c r="U31" s="2"/>
      <c r="V31" s="7">
        <f t="shared" si="17"/>
        <v>0</v>
      </c>
      <c r="W31" s="2"/>
      <c r="X31" s="6">
        <f t="shared" si="18"/>
        <v>2922.4315384617075</v>
      </c>
      <c r="Y31" s="2"/>
      <c r="Z31" s="7">
        <f t="shared" si="19"/>
        <v>4.1712351778658639E-2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4162.01</v>
      </c>
      <c r="E32" s="2"/>
      <c r="F32" s="7">
        <f t="shared" si="12"/>
        <v>0</v>
      </c>
      <c r="G32" s="2"/>
      <c r="H32" s="6">
        <v>4529.2307692307704</v>
      </c>
      <c r="I32" s="2"/>
      <c r="J32" s="7">
        <f t="shared" si="13"/>
        <v>0</v>
      </c>
      <c r="K32" s="2"/>
      <c r="L32" s="6">
        <f t="shared" si="14"/>
        <v>-367.2207692307702</v>
      </c>
      <c r="M32" s="2"/>
      <c r="N32" s="7">
        <f t="shared" si="15"/>
        <v>-8.1077955163043669E-2</v>
      </c>
      <c r="O32" s="11"/>
      <c r="P32" s="6">
        <v>22370.78</v>
      </c>
      <c r="Q32" s="2"/>
      <c r="R32" s="7">
        <f t="shared" si="16"/>
        <v>0</v>
      </c>
      <c r="S32" s="2"/>
      <c r="T32" s="6">
        <v>24910.76923076923</v>
      </c>
      <c r="U32" s="2"/>
      <c r="V32" s="7">
        <f t="shared" si="17"/>
        <v>0</v>
      </c>
      <c r="W32" s="2"/>
      <c r="X32" s="6">
        <f t="shared" si="18"/>
        <v>-2539.9892307692317</v>
      </c>
      <c r="Y32" s="2"/>
      <c r="Z32" s="7">
        <f t="shared" si="19"/>
        <v>-0.10196350049407119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1120</v>
      </c>
      <c r="I37" s="2"/>
      <c r="J37" s="7">
        <f t="shared" si="13"/>
        <v>0</v>
      </c>
      <c r="K37" s="2"/>
      <c r="L37" s="6">
        <f t="shared" si="14"/>
        <v>-1120</v>
      </c>
      <c r="M37" s="2"/>
      <c r="N37" s="7">
        <f t="shared" si="15"/>
        <v>-1</v>
      </c>
      <c r="O37" s="11"/>
      <c r="P37" s="6">
        <v>-44957.29</v>
      </c>
      <c r="Q37" s="2"/>
      <c r="R37" s="7">
        <f t="shared" si="16"/>
        <v>0</v>
      </c>
      <c r="S37" s="2"/>
      <c r="T37" s="6">
        <v>2520</v>
      </c>
      <c r="U37" s="2"/>
      <c r="V37" s="7">
        <f t="shared" si="17"/>
        <v>0</v>
      </c>
      <c r="W37" s="2"/>
      <c r="X37" s="6">
        <f t="shared" si="18"/>
        <v>-47477.29</v>
      </c>
      <c r="Y37" s="2"/>
      <c r="Z37" s="7">
        <f t="shared" si="19"/>
        <v>-18.840194444444446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1120</v>
      </c>
      <c r="U38" s="2"/>
      <c r="V38" s="7">
        <f t="shared" si="17"/>
        <v>0</v>
      </c>
      <c r="W38" s="2"/>
      <c r="X38" s="6">
        <f t="shared" si="18"/>
        <v>-1120</v>
      </c>
      <c r="Y38" s="2"/>
      <c r="Z38" s="7">
        <f t="shared" si="19"/>
        <v>-1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500</v>
      </c>
      <c r="I41" s="1"/>
      <c r="J41" s="5">
        <f t="shared" ref="J41:J60" si="21">IF(H$12=0,0,H41/H$12)</f>
        <v>0</v>
      </c>
      <c r="K41" s="1"/>
      <c r="L41" s="1">
        <f t="shared" ref="L41:L60" si="22">+D41-H41</f>
        <v>-500</v>
      </c>
      <c r="M41" s="1"/>
      <c r="N41" s="5">
        <f t="shared" ref="N41:N60" si="23">IF(H41=0,0,L41/H41)</f>
        <v>-1</v>
      </c>
      <c r="O41" s="14"/>
      <c r="P41" s="1">
        <f>SUM(OSRRefP22_2x_0)</f>
        <v>66.8</v>
      </c>
      <c r="Q41" s="1"/>
      <c r="R41" s="5">
        <f t="shared" ref="R41:R60" si="24">IF(P$12=0,0,P41/P$12)</f>
        <v>0</v>
      </c>
      <c r="S41" s="1"/>
      <c r="T41" s="1">
        <f>SUM(OSRRefT22_2x_0)</f>
        <v>2500</v>
      </c>
      <c r="U41" s="1"/>
      <c r="V41" s="5">
        <f t="shared" ref="V41:V60" si="25">IF(T$12=0,0,T41/T$12)</f>
        <v>0</v>
      </c>
      <c r="W41" s="1"/>
      <c r="X41" s="1">
        <f t="shared" ref="X41:X60" si="26">+P41-T41</f>
        <v>-2433.1999999999998</v>
      </c>
      <c r="Y41" s="1"/>
      <c r="Z41" s="5">
        <f t="shared" ref="Z41:Z60" si="27">IF(T41=0,0,X41/T41)</f>
        <v>-0.97327999999999992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500</v>
      </c>
      <c r="I42" s="2"/>
      <c r="J42" s="7">
        <f t="shared" si="21"/>
        <v>0</v>
      </c>
      <c r="K42" s="2"/>
      <c r="L42" s="6">
        <f t="shared" si="22"/>
        <v>-500</v>
      </c>
      <c r="M42" s="2"/>
      <c r="N42" s="7">
        <f t="shared" si="23"/>
        <v>-1</v>
      </c>
      <c r="O42" s="11"/>
      <c r="P42" s="6">
        <v>66.8</v>
      </c>
      <c r="Q42" s="2"/>
      <c r="R42" s="7">
        <f t="shared" si="24"/>
        <v>0</v>
      </c>
      <c r="S42" s="2"/>
      <c r="T42" s="6">
        <v>2500</v>
      </c>
      <c r="U42" s="2"/>
      <c r="V42" s="7">
        <f t="shared" si="25"/>
        <v>0</v>
      </c>
      <c r="W42" s="2"/>
      <c r="X42" s="6">
        <f t="shared" si="26"/>
        <v>-2433.1999999999998</v>
      </c>
      <c r="Y42" s="2"/>
      <c r="Z42" s="7">
        <f t="shared" si="27"/>
        <v>-0.97327999999999992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1574.35</v>
      </c>
      <c r="Q43" s="1"/>
      <c r="R43" s="5">
        <f t="shared" si="24"/>
        <v>0</v>
      </c>
      <c r="S43" s="1"/>
      <c r="T43" s="1">
        <f>SUM(OSRRefT22_3x_0)</f>
        <v>1575</v>
      </c>
      <c r="U43" s="1"/>
      <c r="V43" s="5">
        <f t="shared" si="25"/>
        <v>0</v>
      </c>
      <c r="W43" s="1"/>
      <c r="X43" s="1">
        <f t="shared" si="26"/>
        <v>-0.65000000000009095</v>
      </c>
      <c r="Y43" s="1"/>
      <c r="Z43" s="5">
        <f t="shared" si="27"/>
        <v>-4.1269841269847042E-4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314.87</v>
      </c>
      <c r="E44" s="2"/>
      <c r="F44" s="7">
        <f t="shared" si="20"/>
        <v>0</v>
      </c>
      <c r="G44" s="2"/>
      <c r="H44" s="6">
        <v>315</v>
      </c>
      <c r="I44" s="2"/>
      <c r="J44" s="7">
        <f t="shared" si="21"/>
        <v>0</v>
      </c>
      <c r="K44" s="2"/>
      <c r="L44" s="6">
        <f t="shared" si="22"/>
        <v>-0.12999999999999545</v>
      </c>
      <c r="M44" s="2"/>
      <c r="N44" s="7">
        <f t="shared" si="23"/>
        <v>-4.1269841269839827E-4</v>
      </c>
      <c r="O44" s="11"/>
      <c r="P44" s="6">
        <v>1574.35</v>
      </c>
      <c r="Q44" s="2"/>
      <c r="R44" s="7">
        <f t="shared" si="24"/>
        <v>0</v>
      </c>
      <c r="S44" s="2"/>
      <c r="T44" s="6">
        <v>1575</v>
      </c>
      <c r="U44" s="2"/>
      <c r="V44" s="7">
        <f t="shared" si="25"/>
        <v>0</v>
      </c>
      <c r="W44" s="2"/>
      <c r="X44" s="6">
        <f t="shared" si="26"/>
        <v>-0.65000000000009095</v>
      </c>
      <c r="Y44" s="2"/>
      <c r="Z44" s="7">
        <f t="shared" si="27"/>
        <v>-4.1269841269847042E-4</v>
      </c>
    </row>
    <row r="45" spans="1:26" s="29" customFormat="1" outlineLevel="1" collapsed="1" x14ac:dyDescent="0.25">
      <c r="A45" s="27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2750</v>
      </c>
      <c r="I45" s="1"/>
      <c r="J45" s="5">
        <f t="shared" si="21"/>
        <v>0</v>
      </c>
      <c r="K45" s="1"/>
      <c r="L45" s="1">
        <f t="shared" si="22"/>
        <v>-2750</v>
      </c>
      <c r="M45" s="1"/>
      <c r="N45" s="5">
        <f t="shared" si="23"/>
        <v>-1</v>
      </c>
      <c r="O45" s="14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34250</v>
      </c>
      <c r="U45" s="1"/>
      <c r="V45" s="5">
        <f t="shared" si="25"/>
        <v>0</v>
      </c>
      <c r="W45" s="1"/>
      <c r="X45" s="1">
        <f t="shared" si="26"/>
        <v>-9250</v>
      </c>
      <c r="Y45" s="1"/>
      <c r="Z45" s="5">
        <f t="shared" si="27"/>
        <v>-0.27007299270072993</v>
      </c>
    </row>
    <row r="46" spans="1:26" s="24" customFormat="1" hidden="1" outlineLevel="2" x14ac:dyDescent="0.25">
      <c r="A46" s="28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20"/>
        <v>0</v>
      </c>
      <c r="G46" s="2"/>
      <c r="H46" s="6">
        <v>2750</v>
      </c>
      <c r="I46" s="2"/>
      <c r="J46" s="7">
        <f t="shared" si="21"/>
        <v>0</v>
      </c>
      <c r="K46" s="2"/>
      <c r="L46" s="6">
        <f t="shared" si="22"/>
        <v>-2750</v>
      </c>
      <c r="M46" s="2"/>
      <c r="N46" s="7">
        <f t="shared" si="23"/>
        <v>-1</v>
      </c>
      <c r="O46" s="11"/>
      <c r="P46" s="6">
        <v>25000</v>
      </c>
      <c r="Q46" s="2"/>
      <c r="R46" s="7">
        <f t="shared" si="24"/>
        <v>0</v>
      </c>
      <c r="S46" s="2"/>
      <c r="T46" s="6">
        <v>34250</v>
      </c>
      <c r="U46" s="2"/>
      <c r="V46" s="7">
        <f t="shared" si="25"/>
        <v>0</v>
      </c>
      <c r="W46" s="2"/>
      <c r="X46" s="6">
        <f t="shared" si="26"/>
        <v>-9250</v>
      </c>
      <c r="Y46" s="2"/>
      <c r="Z46" s="7">
        <f t="shared" si="27"/>
        <v>-0.27007299270072993</v>
      </c>
    </row>
    <row r="47" spans="1:26" s="29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0</v>
      </c>
      <c r="I47" s="1"/>
      <c r="J47" s="5">
        <f t="shared" si="21"/>
        <v>0</v>
      </c>
      <c r="K47" s="1"/>
      <c r="L47" s="1">
        <f t="shared" si="22"/>
        <v>0</v>
      </c>
      <c r="M47" s="1"/>
      <c r="N47" s="5">
        <f t="shared" si="23"/>
        <v>0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1000</v>
      </c>
      <c r="U47" s="1"/>
      <c r="V47" s="5">
        <f t="shared" si="25"/>
        <v>0</v>
      </c>
      <c r="W47" s="1"/>
      <c r="X47" s="1">
        <f t="shared" si="26"/>
        <v>-1000</v>
      </c>
      <c r="Y47" s="1"/>
      <c r="Z47" s="5">
        <f t="shared" si="27"/>
        <v>-1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0"/>
        <v>0</v>
      </c>
      <c r="G48" s="2"/>
      <c r="H48" s="6"/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1000</v>
      </c>
      <c r="U48" s="2"/>
      <c r="V48" s="7">
        <f t="shared" si="25"/>
        <v>0</v>
      </c>
      <c r="W48" s="2"/>
      <c r="X48" s="6">
        <f t="shared" si="26"/>
        <v>-1000</v>
      </c>
      <c r="Y48" s="2"/>
      <c r="Z48" s="7">
        <f t="shared" si="27"/>
        <v>-1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117.71</v>
      </c>
      <c r="E49" s="1"/>
      <c r="F49" s="5">
        <f t="shared" si="20"/>
        <v>0</v>
      </c>
      <c r="G49" s="1"/>
      <c r="H49" s="1">
        <f>SUM(OSRRefH22_6x_0)</f>
        <v>118</v>
      </c>
      <c r="I49" s="1"/>
      <c r="J49" s="5">
        <f t="shared" si="21"/>
        <v>0</v>
      </c>
      <c r="K49" s="1"/>
      <c r="L49" s="1">
        <f t="shared" si="22"/>
        <v>-0.29000000000000625</v>
      </c>
      <c r="M49" s="1"/>
      <c r="N49" s="5">
        <f t="shared" si="23"/>
        <v>-2.457627118644121E-3</v>
      </c>
      <c r="O49" s="14"/>
      <c r="P49" s="1">
        <f>SUM(OSRRefP22_6x_0)</f>
        <v>588.54999999999995</v>
      </c>
      <c r="Q49" s="1"/>
      <c r="R49" s="5">
        <f t="shared" si="24"/>
        <v>0</v>
      </c>
      <c r="S49" s="1"/>
      <c r="T49" s="1">
        <f>SUM(OSRRefT22_6x_0)</f>
        <v>590</v>
      </c>
      <c r="U49" s="1"/>
      <c r="V49" s="5">
        <f t="shared" si="25"/>
        <v>0</v>
      </c>
      <c r="W49" s="1"/>
      <c r="X49" s="1">
        <f t="shared" si="26"/>
        <v>-1.4500000000000455</v>
      </c>
      <c r="Y49" s="1"/>
      <c r="Z49" s="5">
        <f t="shared" si="27"/>
        <v>-2.4576271186441448E-3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>
        <v>117.71</v>
      </c>
      <c r="E50" s="2"/>
      <c r="F50" s="7">
        <f t="shared" si="20"/>
        <v>0</v>
      </c>
      <c r="G50" s="2"/>
      <c r="H50" s="6">
        <v>118</v>
      </c>
      <c r="I50" s="2"/>
      <c r="J50" s="7">
        <f t="shared" si="21"/>
        <v>0</v>
      </c>
      <c r="K50" s="2"/>
      <c r="L50" s="6">
        <f t="shared" si="22"/>
        <v>-0.29000000000000625</v>
      </c>
      <c r="M50" s="2"/>
      <c r="N50" s="7">
        <f t="shared" si="23"/>
        <v>-2.457627118644121E-3</v>
      </c>
      <c r="O50" s="11"/>
      <c r="P50" s="6">
        <v>588.54999999999995</v>
      </c>
      <c r="Q50" s="2"/>
      <c r="R50" s="7">
        <f t="shared" si="24"/>
        <v>0</v>
      </c>
      <c r="S50" s="2"/>
      <c r="T50" s="6">
        <v>590</v>
      </c>
      <c r="U50" s="2"/>
      <c r="V50" s="7">
        <f t="shared" si="25"/>
        <v>0</v>
      </c>
      <c r="W50" s="2"/>
      <c r="X50" s="6">
        <f t="shared" si="26"/>
        <v>-1.4500000000000455</v>
      </c>
      <c r="Y50" s="2"/>
      <c r="Z50" s="7">
        <f t="shared" si="27"/>
        <v>-2.4576271186441448E-3</v>
      </c>
    </row>
    <row r="51" spans="1:26" s="29" customFormat="1" outlineLevel="1" collapsed="1" x14ac:dyDescent="0.2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SUM(OSRRefD22_7x_0)</f>
        <v>0</v>
      </c>
      <c r="E51" s="1"/>
      <c r="F51" s="5">
        <f t="shared" si="20"/>
        <v>0</v>
      </c>
      <c r="G51" s="1"/>
      <c r="H51" s="1">
        <f>SUM(OSRRefH22_7x_0)</f>
        <v>15</v>
      </c>
      <c r="I51" s="1"/>
      <c r="J51" s="5">
        <f t="shared" si="21"/>
        <v>0</v>
      </c>
      <c r="K51" s="1"/>
      <c r="L51" s="1">
        <f t="shared" si="22"/>
        <v>-15</v>
      </c>
      <c r="M51" s="1"/>
      <c r="N51" s="5">
        <f t="shared" si="23"/>
        <v>-1</v>
      </c>
      <c r="O51" s="14"/>
      <c r="P51" s="1">
        <f>SUM(OSRRefP22_7x_0)</f>
        <v>63.56</v>
      </c>
      <c r="Q51" s="1"/>
      <c r="R51" s="5">
        <f t="shared" si="24"/>
        <v>0</v>
      </c>
      <c r="S51" s="1"/>
      <c r="T51" s="1">
        <f>SUM(OSRRefT22_7x_0)</f>
        <v>75</v>
      </c>
      <c r="U51" s="1"/>
      <c r="V51" s="5">
        <f t="shared" si="25"/>
        <v>0</v>
      </c>
      <c r="W51" s="1"/>
      <c r="X51" s="1">
        <f t="shared" si="26"/>
        <v>-11.439999999999998</v>
      </c>
      <c r="Y51" s="1"/>
      <c r="Z51" s="5">
        <f t="shared" si="27"/>
        <v>-0.1525333333333333</v>
      </c>
    </row>
    <row r="52" spans="1:26" s="24" customFormat="1" hidden="1" outlineLevel="2" x14ac:dyDescent="0.25">
      <c r="A52" s="28"/>
      <c r="B52" s="11" t="str">
        <f>CONCATENATE("          ", "6307", " - ", "POSTAGE")</f>
        <v xml:space="preserve">          6307 - POSTAGE</v>
      </c>
      <c r="C52" s="11"/>
      <c r="D52" s="6"/>
      <c r="E52" s="2"/>
      <c r="F52" s="7">
        <f t="shared" si="20"/>
        <v>0</v>
      </c>
      <c r="G52" s="2"/>
      <c r="H52" s="6">
        <v>15</v>
      </c>
      <c r="I52" s="2"/>
      <c r="J52" s="7">
        <f t="shared" si="21"/>
        <v>0</v>
      </c>
      <c r="K52" s="2"/>
      <c r="L52" s="6">
        <f t="shared" si="22"/>
        <v>-15</v>
      </c>
      <c r="M52" s="2"/>
      <c r="N52" s="7">
        <f t="shared" si="23"/>
        <v>-1</v>
      </c>
      <c r="O52" s="11"/>
      <c r="P52" s="6">
        <v>63.56</v>
      </c>
      <c r="Q52" s="2"/>
      <c r="R52" s="7">
        <f t="shared" si="24"/>
        <v>0</v>
      </c>
      <c r="S52" s="2"/>
      <c r="T52" s="6">
        <v>75</v>
      </c>
      <c r="U52" s="2"/>
      <c r="V52" s="7">
        <f t="shared" si="25"/>
        <v>0</v>
      </c>
      <c r="W52" s="2"/>
      <c r="X52" s="6">
        <f t="shared" si="26"/>
        <v>-11.439999999999998</v>
      </c>
      <c r="Y52" s="2"/>
      <c r="Z52" s="7">
        <f t="shared" si="27"/>
        <v>-0.1525333333333333</v>
      </c>
    </row>
    <row r="53" spans="1:26" s="29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0</v>
      </c>
      <c r="I53" s="1"/>
      <c r="J53" s="5">
        <f t="shared" si="21"/>
        <v>0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500</v>
      </c>
      <c r="U53" s="1"/>
      <c r="V53" s="5">
        <f t="shared" si="25"/>
        <v>0</v>
      </c>
      <c r="W53" s="1"/>
      <c r="X53" s="1">
        <f t="shared" si="26"/>
        <v>-500</v>
      </c>
      <c r="Y53" s="1"/>
      <c r="Z53" s="5">
        <f t="shared" si="27"/>
        <v>-1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500</v>
      </c>
      <c r="U54" s="2"/>
      <c r="V54" s="7">
        <f t="shared" si="25"/>
        <v>0</v>
      </c>
      <c r="W54" s="2"/>
      <c r="X54" s="6">
        <f t="shared" si="26"/>
        <v>-500</v>
      </c>
      <c r="Y54" s="2"/>
      <c r="Z54" s="7">
        <f t="shared" si="27"/>
        <v>-1</v>
      </c>
    </row>
    <row r="55" spans="1:26" s="29" customFormat="1" outlineLevel="1" collapsed="1" x14ac:dyDescent="0.25">
      <c r="A55" s="27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115.13</v>
      </c>
      <c r="E55" s="1"/>
      <c r="F55" s="5">
        <f t="shared" si="20"/>
        <v>0</v>
      </c>
      <c r="G55" s="1"/>
      <c r="H55" s="1">
        <f>SUM(OSRRefH22_9x_0)</f>
        <v>126</v>
      </c>
      <c r="I55" s="1"/>
      <c r="J55" s="5">
        <f t="shared" si="21"/>
        <v>0</v>
      </c>
      <c r="K55" s="1"/>
      <c r="L55" s="1">
        <f t="shared" si="22"/>
        <v>-10.870000000000005</v>
      </c>
      <c r="M55" s="1"/>
      <c r="N55" s="5">
        <f t="shared" si="23"/>
        <v>-8.6269841269841302E-2</v>
      </c>
      <c r="O55" s="14"/>
      <c r="P55" s="1">
        <f>SUM(OSRRefP22_9x_0)</f>
        <v>575.65</v>
      </c>
      <c r="Q55" s="1"/>
      <c r="R55" s="5">
        <f t="shared" si="24"/>
        <v>0</v>
      </c>
      <c r="S55" s="1"/>
      <c r="T55" s="1">
        <f>SUM(OSRRefT22_9x_0)</f>
        <v>630</v>
      </c>
      <c r="U55" s="1"/>
      <c r="V55" s="5">
        <f t="shared" si="25"/>
        <v>0</v>
      </c>
      <c r="W55" s="1"/>
      <c r="X55" s="1">
        <f t="shared" si="26"/>
        <v>-54.350000000000023</v>
      </c>
      <c r="Y55" s="1"/>
      <c r="Z55" s="5">
        <f t="shared" si="27"/>
        <v>-8.6269841269841302E-2</v>
      </c>
    </row>
    <row r="56" spans="1:26" s="24" customFormat="1" hidden="1" outlineLevel="2" x14ac:dyDescent="0.25">
      <c r="A56" s="28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0"/>
        <v>0</v>
      </c>
      <c r="G56" s="2"/>
      <c r="H56" s="6">
        <v>126</v>
      </c>
      <c r="I56" s="2"/>
      <c r="J56" s="7">
        <f t="shared" si="21"/>
        <v>0</v>
      </c>
      <c r="K56" s="2"/>
      <c r="L56" s="6">
        <f t="shared" si="22"/>
        <v>-10.870000000000005</v>
      </c>
      <c r="M56" s="2"/>
      <c r="N56" s="7">
        <f t="shared" si="23"/>
        <v>-8.6269841269841302E-2</v>
      </c>
      <c r="O56" s="11"/>
      <c r="P56" s="6">
        <v>575.65</v>
      </c>
      <c r="Q56" s="2"/>
      <c r="R56" s="7">
        <f t="shared" si="24"/>
        <v>0</v>
      </c>
      <c r="S56" s="2"/>
      <c r="T56" s="6">
        <v>630</v>
      </c>
      <c r="U56" s="2"/>
      <c r="V56" s="7">
        <f t="shared" si="25"/>
        <v>0</v>
      </c>
      <c r="W56" s="2"/>
      <c r="X56" s="6">
        <f t="shared" si="26"/>
        <v>-54.350000000000023</v>
      </c>
      <c r="Y56" s="2"/>
      <c r="Z56" s="7">
        <f t="shared" si="27"/>
        <v>-8.6269841269841302E-2</v>
      </c>
    </row>
    <row r="57" spans="1:26" s="29" customFormat="1" outlineLevel="1" collapsed="1" x14ac:dyDescent="0.25">
      <c r="A57" s="27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SUM(OSRRefD22_10x_0)</f>
        <v>10759.380000000001</v>
      </c>
      <c r="E57" s="1"/>
      <c r="F57" s="5">
        <f t="shared" si="20"/>
        <v>0</v>
      </c>
      <c r="G57" s="1"/>
      <c r="H57" s="1">
        <f>SUM(OSRRefH22_10x_0)</f>
        <v>25500</v>
      </c>
      <c r="I57" s="1"/>
      <c r="J57" s="5">
        <f t="shared" si="21"/>
        <v>0</v>
      </c>
      <c r="K57" s="1"/>
      <c r="L57" s="1">
        <f t="shared" si="22"/>
        <v>-14740.619999999999</v>
      </c>
      <c r="M57" s="1"/>
      <c r="N57" s="5">
        <f t="shared" si="23"/>
        <v>-0.57806352941176464</v>
      </c>
      <c r="O57" s="14"/>
      <c r="P57" s="1">
        <f>SUM(OSRRefP22_10x_0)</f>
        <v>36689.379999999997</v>
      </c>
      <c r="Q57" s="1"/>
      <c r="R57" s="5">
        <f t="shared" si="24"/>
        <v>0</v>
      </c>
      <c r="S57" s="1"/>
      <c r="T57" s="1">
        <f>SUM(OSRRefT22_10x_0)</f>
        <v>54000</v>
      </c>
      <c r="U57" s="1"/>
      <c r="V57" s="5">
        <f t="shared" si="25"/>
        <v>0</v>
      </c>
      <c r="W57" s="1"/>
      <c r="X57" s="1">
        <f t="shared" si="26"/>
        <v>-17310.620000000003</v>
      </c>
      <c r="Y57" s="1"/>
      <c r="Z57" s="5">
        <f t="shared" si="27"/>
        <v>-0.32056703703703709</v>
      </c>
    </row>
    <row r="58" spans="1:26" s="24" customFormat="1" hidden="1" outlineLevel="2" x14ac:dyDescent="0.25">
      <c r="A58" s="28"/>
      <c r="B58" s="11" t="str">
        <f>CONCATENATE("          ", "6331", " - ", "INDIRECT COSTS-AUXILIARY ORGAN")</f>
        <v xml:space="preserve">          6331 - INDIRECT COSTS-AUXILIARY ORGAN</v>
      </c>
      <c r="C58" s="11"/>
      <c r="D58" s="6">
        <v>9500</v>
      </c>
      <c r="E58" s="2"/>
      <c r="F58" s="7">
        <f t="shared" si="20"/>
        <v>0</v>
      </c>
      <c r="G58" s="2"/>
      <c r="H58" s="6">
        <v>19000</v>
      </c>
      <c r="I58" s="2"/>
      <c r="J58" s="7">
        <f t="shared" si="21"/>
        <v>0</v>
      </c>
      <c r="K58" s="2"/>
      <c r="L58" s="6">
        <f t="shared" si="22"/>
        <v>-9500</v>
      </c>
      <c r="M58" s="2"/>
      <c r="N58" s="7">
        <f t="shared" si="23"/>
        <v>-0.5</v>
      </c>
      <c r="O58" s="11"/>
      <c r="P58" s="6">
        <v>33000</v>
      </c>
      <c r="Q58" s="2"/>
      <c r="R58" s="7">
        <f t="shared" si="24"/>
        <v>0</v>
      </c>
      <c r="S58" s="2"/>
      <c r="T58" s="6">
        <v>46000</v>
      </c>
      <c r="U58" s="2"/>
      <c r="V58" s="7">
        <f t="shared" si="25"/>
        <v>0</v>
      </c>
      <c r="W58" s="2"/>
      <c r="X58" s="6">
        <f t="shared" si="26"/>
        <v>-13000</v>
      </c>
      <c r="Y58" s="2"/>
      <c r="Z58" s="7">
        <f t="shared" si="27"/>
        <v>-0.28260869565217389</v>
      </c>
    </row>
    <row r="59" spans="1:26" s="24" customFormat="1" hidden="1" outlineLevel="2" x14ac:dyDescent="0.25">
      <c r="A59" s="28"/>
      <c r="B59" s="11" t="str">
        <f>CONCATENATE("          ", "6334", " - ", "LEGAL COUNCIL EXPENSE")</f>
        <v xml:space="preserve">          6334 - LEGAL COUNCIL EXPENSE</v>
      </c>
      <c r="C59" s="11"/>
      <c r="D59" s="6">
        <v>1259.3800000000001</v>
      </c>
      <c r="E59" s="2"/>
      <c r="F59" s="7">
        <f t="shared" si="20"/>
        <v>0</v>
      </c>
      <c r="G59" s="2"/>
      <c r="H59" s="6">
        <v>1500</v>
      </c>
      <c r="I59" s="2"/>
      <c r="J59" s="7">
        <f t="shared" si="21"/>
        <v>0</v>
      </c>
      <c r="K59" s="2"/>
      <c r="L59" s="6">
        <f t="shared" si="22"/>
        <v>-240.61999999999989</v>
      </c>
      <c r="M59" s="2"/>
      <c r="N59" s="7">
        <f t="shared" si="23"/>
        <v>-0.16041333333333327</v>
      </c>
      <c r="O59" s="11"/>
      <c r="P59" s="6">
        <v>3689.38</v>
      </c>
      <c r="Q59" s="2"/>
      <c r="R59" s="7">
        <f t="shared" si="24"/>
        <v>0</v>
      </c>
      <c r="S59" s="2"/>
      <c r="T59" s="6">
        <v>3000</v>
      </c>
      <c r="U59" s="2"/>
      <c r="V59" s="7">
        <f t="shared" si="25"/>
        <v>0</v>
      </c>
      <c r="W59" s="2"/>
      <c r="X59" s="6">
        <f t="shared" si="26"/>
        <v>689.38000000000011</v>
      </c>
      <c r="Y59" s="2"/>
      <c r="Z59" s="7">
        <f t="shared" si="27"/>
        <v>0.22979333333333338</v>
      </c>
    </row>
    <row r="60" spans="1:26" s="24" customFormat="1" hidden="1" outlineLevel="2" x14ac:dyDescent="0.25">
      <c r="A60" s="28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0"/>
        <v>0</v>
      </c>
      <c r="G60" s="2"/>
      <c r="H60" s="6">
        <v>5000</v>
      </c>
      <c r="I60" s="2"/>
      <c r="J60" s="7">
        <f t="shared" si="21"/>
        <v>0</v>
      </c>
      <c r="K60" s="2"/>
      <c r="L60" s="6">
        <f t="shared" si="22"/>
        <v>-5000</v>
      </c>
      <c r="M60" s="2"/>
      <c r="N60" s="7">
        <f t="shared" si="23"/>
        <v>-1</v>
      </c>
      <c r="O60" s="11"/>
      <c r="P60" s="6"/>
      <c r="Q60" s="2"/>
      <c r="R60" s="7">
        <f t="shared" si="24"/>
        <v>0</v>
      </c>
      <c r="S60" s="2"/>
      <c r="T60" s="6">
        <v>5000</v>
      </c>
      <c r="U60" s="2"/>
      <c r="V60" s="7">
        <f t="shared" si="25"/>
        <v>0</v>
      </c>
      <c r="W60" s="2"/>
      <c r="X60" s="6">
        <f t="shared" si="26"/>
        <v>-5000</v>
      </c>
      <c r="Y60" s="2"/>
      <c r="Z60" s="7">
        <f t="shared" si="27"/>
        <v>-1</v>
      </c>
    </row>
    <row r="61" spans="1:26" s="29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SUM(OSRRefD22_11x_0)</f>
        <v>2594.63</v>
      </c>
      <c r="E61" s="1"/>
      <c r="F61" s="5">
        <f t="shared" ref="F61:F68" si="28">IF(D$12=0,0,D61/D$12)</f>
        <v>0</v>
      </c>
      <c r="G61" s="1"/>
      <c r="H61" s="1">
        <f>SUM(OSRRefH22_11x_0)</f>
        <v>2182</v>
      </c>
      <c r="I61" s="1"/>
      <c r="J61" s="5">
        <f t="shared" ref="J61:J68" si="29">IF(H$12=0,0,H61/H$12)</f>
        <v>0</v>
      </c>
      <c r="K61" s="1"/>
      <c r="L61" s="1">
        <f t="shared" ref="L61:L68" si="30">+D61-H61</f>
        <v>412.63000000000011</v>
      </c>
      <c r="M61" s="1"/>
      <c r="N61" s="5">
        <f t="shared" ref="N61:N68" si="31">IF(H61=0,0,L61/H61)</f>
        <v>0.18910632447296064</v>
      </c>
      <c r="O61" s="14"/>
      <c r="P61" s="1">
        <f>SUM(OSRRefP22_11x_0)</f>
        <v>11812.26</v>
      </c>
      <c r="Q61" s="1"/>
      <c r="R61" s="5">
        <f t="shared" ref="R61:R68" si="32">IF(P$12=0,0,P61/P$12)</f>
        <v>0</v>
      </c>
      <c r="S61" s="1"/>
      <c r="T61" s="1">
        <f>SUM(OSRRefT22_11x_0)</f>
        <v>10910</v>
      </c>
      <c r="U61" s="1"/>
      <c r="V61" s="5">
        <f t="shared" ref="V61:V68" si="33">IF(T$12=0,0,T61/T$12)</f>
        <v>0</v>
      </c>
      <c r="W61" s="1"/>
      <c r="X61" s="1">
        <f t="shared" ref="X61:X68" si="34">+P61-T61</f>
        <v>902.26000000000022</v>
      </c>
      <c r="Y61" s="1"/>
      <c r="Z61" s="5">
        <f t="shared" ref="Z61:Z68" si="35">IF(T61=0,0,X61/T61)</f>
        <v>8.2700274977085264E-2</v>
      </c>
    </row>
    <row r="62" spans="1:26" s="24" customFormat="1" hidden="1" outlineLevel="2" x14ac:dyDescent="0.25">
      <c r="A62" s="28"/>
      <c r="B62" s="11" t="str">
        <f>CONCATENATE("          ", "6373", " - ", "MAINTENANCE CONTRACTS")</f>
        <v xml:space="preserve">          6373 - MAINTENANCE CONTRACTS</v>
      </c>
      <c r="C62" s="11"/>
      <c r="D62" s="6">
        <v>2594.63</v>
      </c>
      <c r="E62" s="2"/>
      <c r="F62" s="7">
        <f t="shared" si="28"/>
        <v>0</v>
      </c>
      <c r="G62" s="2"/>
      <c r="H62" s="6">
        <v>2182</v>
      </c>
      <c r="I62" s="2"/>
      <c r="J62" s="7">
        <f t="shared" si="29"/>
        <v>0</v>
      </c>
      <c r="K62" s="2"/>
      <c r="L62" s="6">
        <f t="shared" si="30"/>
        <v>412.63000000000011</v>
      </c>
      <c r="M62" s="2"/>
      <c r="N62" s="7">
        <f t="shared" si="31"/>
        <v>0.18910632447296064</v>
      </c>
      <c r="O62" s="11"/>
      <c r="P62" s="6">
        <v>11812.26</v>
      </c>
      <c r="Q62" s="2"/>
      <c r="R62" s="7">
        <f t="shared" si="32"/>
        <v>0</v>
      </c>
      <c r="S62" s="2"/>
      <c r="T62" s="6">
        <v>10910</v>
      </c>
      <c r="U62" s="2"/>
      <c r="V62" s="7">
        <f t="shared" si="33"/>
        <v>0</v>
      </c>
      <c r="W62" s="2"/>
      <c r="X62" s="6">
        <f t="shared" si="34"/>
        <v>902.26000000000022</v>
      </c>
      <c r="Y62" s="2"/>
      <c r="Z62" s="7">
        <f t="shared" si="35"/>
        <v>8.2700274977085264E-2</v>
      </c>
    </row>
    <row r="63" spans="1:26" s="29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SUM(OSRRefD22_12x_0)</f>
        <v>0</v>
      </c>
      <c r="E63" s="1"/>
      <c r="F63" s="5">
        <f t="shared" si="28"/>
        <v>0</v>
      </c>
      <c r="G63" s="1"/>
      <c r="H63" s="1">
        <f>SUM(OSRRefH22_12x_0)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SUM(OSRRefP22_12x_0)</f>
        <v>1725</v>
      </c>
      <c r="Q63" s="1"/>
      <c r="R63" s="5">
        <f t="shared" si="32"/>
        <v>0</v>
      </c>
      <c r="S63" s="1"/>
      <c r="T63" s="1">
        <f>SUM(OSRRefT22_12x_0)</f>
        <v>1250</v>
      </c>
      <c r="U63" s="1"/>
      <c r="V63" s="5">
        <f t="shared" si="33"/>
        <v>0</v>
      </c>
      <c r="W63" s="1"/>
      <c r="X63" s="1">
        <f t="shared" si="34"/>
        <v>475</v>
      </c>
      <c r="Y63" s="1"/>
      <c r="Z63" s="5">
        <f t="shared" si="35"/>
        <v>0.38</v>
      </c>
    </row>
    <row r="64" spans="1:26" s="24" customFormat="1" hidden="1" outlineLevel="2" x14ac:dyDescent="0.25">
      <c r="A64" s="28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28"/>
        <v>0</v>
      </c>
      <c r="G64" s="2"/>
      <c r="H64" s="6"/>
      <c r="I64" s="2"/>
      <c r="J64" s="7">
        <f t="shared" si="29"/>
        <v>0</v>
      </c>
      <c r="K64" s="2"/>
      <c r="L64" s="6">
        <f t="shared" si="30"/>
        <v>0</v>
      </c>
      <c r="M64" s="2"/>
      <c r="N64" s="7">
        <f t="shared" si="31"/>
        <v>0</v>
      </c>
      <c r="O64" s="11"/>
      <c r="P64" s="6">
        <v>1725</v>
      </c>
      <c r="Q64" s="2"/>
      <c r="R64" s="7">
        <f t="shared" si="32"/>
        <v>0</v>
      </c>
      <c r="S64" s="2"/>
      <c r="T64" s="6">
        <v>1250</v>
      </c>
      <c r="U64" s="2"/>
      <c r="V64" s="7">
        <f t="shared" si="33"/>
        <v>0</v>
      </c>
      <c r="W64" s="2"/>
      <c r="X64" s="6">
        <f t="shared" si="34"/>
        <v>475</v>
      </c>
      <c r="Y64" s="2"/>
      <c r="Z64" s="7">
        <f t="shared" si="35"/>
        <v>0.38</v>
      </c>
    </row>
    <row r="65" spans="1:26" s="29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125.93</v>
      </c>
      <c r="E65" s="1"/>
      <c r="F65" s="5">
        <f t="shared" si="28"/>
        <v>0</v>
      </c>
      <c r="G65" s="1"/>
      <c r="H65" s="1">
        <f>SUM(OSRRefH22_13x_0)</f>
        <v>1000</v>
      </c>
      <c r="I65" s="1"/>
      <c r="J65" s="5">
        <f t="shared" si="29"/>
        <v>0</v>
      </c>
      <c r="K65" s="1"/>
      <c r="L65" s="1">
        <f t="shared" si="30"/>
        <v>-874.06999999999994</v>
      </c>
      <c r="M65" s="1"/>
      <c r="N65" s="5">
        <f t="shared" si="31"/>
        <v>-0.8740699999999999</v>
      </c>
      <c r="O65" s="14"/>
      <c r="P65" s="1">
        <f>SUM(OSRRefP22_13x_0)</f>
        <v>535.41000000000008</v>
      </c>
      <c r="Q65" s="1"/>
      <c r="R65" s="5">
        <f t="shared" si="32"/>
        <v>0</v>
      </c>
      <c r="S65" s="1"/>
      <c r="T65" s="1">
        <f>SUM(OSRRefT22_13x_0)</f>
        <v>8000</v>
      </c>
      <c r="U65" s="1"/>
      <c r="V65" s="5">
        <f t="shared" si="33"/>
        <v>0</v>
      </c>
      <c r="W65" s="1"/>
      <c r="X65" s="1">
        <f t="shared" si="34"/>
        <v>-7464.59</v>
      </c>
      <c r="Y65" s="1"/>
      <c r="Z65" s="5">
        <f t="shared" si="35"/>
        <v>-0.93307375000000004</v>
      </c>
    </row>
    <row r="66" spans="1:26" s="24" customFormat="1" hidden="1" outlineLevel="2" x14ac:dyDescent="0.25">
      <c r="A66" s="28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28"/>
        <v>0</v>
      </c>
      <c r="G66" s="2"/>
      <c r="H66" s="6">
        <v>1000</v>
      </c>
      <c r="I66" s="2"/>
      <c r="J66" s="7">
        <f t="shared" si="29"/>
        <v>0</v>
      </c>
      <c r="K66" s="2"/>
      <c r="L66" s="6">
        <f t="shared" si="30"/>
        <v>-1000</v>
      </c>
      <c r="M66" s="2"/>
      <c r="N66" s="7">
        <f t="shared" si="31"/>
        <v>-1</v>
      </c>
      <c r="O66" s="11"/>
      <c r="P66" s="6"/>
      <c r="Q66" s="2"/>
      <c r="R66" s="7">
        <f t="shared" si="32"/>
        <v>0</v>
      </c>
      <c r="S66" s="2"/>
      <c r="T66" s="6">
        <v>5000</v>
      </c>
      <c r="U66" s="2"/>
      <c r="V66" s="7">
        <f t="shared" si="33"/>
        <v>0</v>
      </c>
      <c r="W66" s="2"/>
      <c r="X66" s="6">
        <f t="shared" si="34"/>
        <v>-5000</v>
      </c>
      <c r="Y66" s="2"/>
      <c r="Z66" s="7">
        <f t="shared" si="35"/>
        <v>-1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106.94</v>
      </c>
      <c r="Q67" s="2"/>
      <c r="R67" s="7">
        <f t="shared" si="32"/>
        <v>0</v>
      </c>
      <c r="S67" s="2"/>
      <c r="T67" s="6">
        <v>500</v>
      </c>
      <c r="U67" s="2"/>
      <c r="V67" s="7">
        <f t="shared" si="33"/>
        <v>0</v>
      </c>
      <c r="W67" s="2"/>
      <c r="X67" s="6">
        <f t="shared" si="34"/>
        <v>-393.06</v>
      </c>
      <c r="Y67" s="2"/>
      <c r="Z67" s="7">
        <f t="shared" si="35"/>
        <v>-0.78612000000000004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6">
        <v>125.93</v>
      </c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125.93</v>
      </c>
      <c r="M68" s="2"/>
      <c r="N68" s="7">
        <f t="shared" si="31"/>
        <v>0</v>
      </c>
      <c r="O68" s="11"/>
      <c r="P68" s="6">
        <v>428.47</v>
      </c>
      <c r="Q68" s="2"/>
      <c r="R68" s="7">
        <f t="shared" si="32"/>
        <v>0</v>
      </c>
      <c r="S68" s="2"/>
      <c r="T68" s="6">
        <v>2500</v>
      </c>
      <c r="U68" s="2"/>
      <c r="V68" s="7">
        <f t="shared" si="33"/>
        <v>0</v>
      </c>
      <c r="W68" s="2"/>
      <c r="X68" s="6">
        <f t="shared" si="34"/>
        <v>-2071.5299999999997</v>
      </c>
      <c r="Y68" s="2"/>
      <c r="Z68" s="7">
        <f t="shared" si="35"/>
        <v>-0.8286119999999999</v>
      </c>
    </row>
    <row r="69" spans="1:26" s="29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SUM(OSRRefD22_14x_0)</f>
        <v>239</v>
      </c>
      <c r="E69" s="1"/>
      <c r="F69" s="5">
        <f t="shared" ref="F69:F74" si="36">IF(D$12=0,0,D69/D$12)</f>
        <v>0</v>
      </c>
      <c r="G69" s="1"/>
      <c r="H69" s="1">
        <f>SUM(OSRRefH22_14x_0)</f>
        <v>350</v>
      </c>
      <c r="I69" s="1"/>
      <c r="J69" s="5">
        <f t="shared" ref="J69:J74" si="37">IF(H$12=0,0,H69/H$12)</f>
        <v>0</v>
      </c>
      <c r="K69" s="1"/>
      <c r="L69" s="1">
        <f t="shared" ref="L69:L74" si="38">+D69-H69</f>
        <v>-111</v>
      </c>
      <c r="M69" s="1"/>
      <c r="N69" s="5">
        <f t="shared" ref="N69:N74" si="39">IF(H69=0,0,L69/H69)</f>
        <v>-0.31714285714285712</v>
      </c>
      <c r="O69" s="14"/>
      <c r="P69" s="1">
        <f>SUM(OSRRefP22_14x_0)</f>
        <v>1645.12</v>
      </c>
      <c r="Q69" s="1"/>
      <c r="R69" s="5">
        <f t="shared" ref="R69:R74" si="40">IF(P$12=0,0,P69/P$12)</f>
        <v>0</v>
      </c>
      <c r="S69" s="1"/>
      <c r="T69" s="1">
        <f>SUM(OSRRefT22_14x_0)</f>
        <v>1750</v>
      </c>
      <c r="U69" s="1"/>
      <c r="V69" s="5">
        <f t="shared" ref="V69:V74" si="41">IF(T$12=0,0,T69/T$12)</f>
        <v>0</v>
      </c>
      <c r="W69" s="1"/>
      <c r="X69" s="1">
        <f t="shared" ref="X69:X74" si="42">+P69-T69</f>
        <v>-104.88000000000011</v>
      </c>
      <c r="Y69" s="1"/>
      <c r="Z69" s="5">
        <f t="shared" ref="Z69:Z74" si="43">IF(T69=0,0,X69/T69)</f>
        <v>-5.9931428571428635E-2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6">
        <v>239</v>
      </c>
      <c r="E70" s="2"/>
      <c r="F70" s="7">
        <f t="shared" si="36"/>
        <v>0</v>
      </c>
      <c r="G70" s="2"/>
      <c r="H70" s="6">
        <v>350</v>
      </c>
      <c r="I70" s="2"/>
      <c r="J70" s="7">
        <f t="shared" si="37"/>
        <v>0</v>
      </c>
      <c r="K70" s="2"/>
      <c r="L70" s="6">
        <f t="shared" si="38"/>
        <v>-111</v>
      </c>
      <c r="M70" s="2"/>
      <c r="N70" s="7">
        <f t="shared" si="39"/>
        <v>-0.31714285714285712</v>
      </c>
      <c r="O70" s="11"/>
      <c r="P70" s="6">
        <v>1645.12</v>
      </c>
      <c r="Q70" s="2"/>
      <c r="R70" s="7">
        <f t="shared" si="40"/>
        <v>0</v>
      </c>
      <c r="S70" s="2"/>
      <c r="T70" s="6">
        <v>1750</v>
      </c>
      <c r="U70" s="2"/>
      <c r="V70" s="7">
        <f t="shared" si="41"/>
        <v>0</v>
      </c>
      <c r="W70" s="2"/>
      <c r="X70" s="6">
        <f t="shared" si="42"/>
        <v>-104.88000000000011</v>
      </c>
      <c r="Y70" s="2"/>
      <c r="Z70" s="7">
        <f t="shared" si="43"/>
        <v>-5.9931428571428635E-2</v>
      </c>
    </row>
    <row r="71" spans="1:26" s="29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SUM(OSRRefD22_15x_0)</f>
        <v>1126.5</v>
      </c>
      <c r="E71" s="1"/>
      <c r="F71" s="5">
        <f t="shared" si="36"/>
        <v>0</v>
      </c>
      <c r="G71" s="1"/>
      <c r="H71" s="1">
        <f>SUM(OSRRefH22_15x_0)</f>
        <v>1500</v>
      </c>
      <c r="I71" s="1"/>
      <c r="J71" s="5">
        <f t="shared" si="37"/>
        <v>0</v>
      </c>
      <c r="K71" s="1"/>
      <c r="L71" s="1">
        <f t="shared" si="38"/>
        <v>-373.5</v>
      </c>
      <c r="M71" s="1"/>
      <c r="N71" s="5">
        <f t="shared" si="39"/>
        <v>-0.249</v>
      </c>
      <c r="O71" s="14"/>
      <c r="P71" s="1">
        <f>SUM(OSRRefP22_15x_0)</f>
        <v>1126.5</v>
      </c>
      <c r="Q71" s="1"/>
      <c r="R71" s="5">
        <f t="shared" si="40"/>
        <v>0</v>
      </c>
      <c r="S71" s="1"/>
      <c r="T71" s="1">
        <f>SUM(OSRRefT22_15x_0)</f>
        <v>1500</v>
      </c>
      <c r="U71" s="1"/>
      <c r="V71" s="5">
        <f t="shared" si="41"/>
        <v>0</v>
      </c>
      <c r="W71" s="1"/>
      <c r="X71" s="1">
        <f t="shared" si="42"/>
        <v>-373.5</v>
      </c>
      <c r="Y71" s="1"/>
      <c r="Z71" s="5">
        <f t="shared" si="43"/>
        <v>-0.249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6">
        <v>1126.5</v>
      </c>
      <c r="E72" s="2"/>
      <c r="F72" s="7">
        <f t="shared" si="36"/>
        <v>0</v>
      </c>
      <c r="G72" s="2"/>
      <c r="H72" s="6">
        <v>1500</v>
      </c>
      <c r="I72" s="2"/>
      <c r="J72" s="7">
        <f t="shared" si="37"/>
        <v>0</v>
      </c>
      <c r="K72" s="2"/>
      <c r="L72" s="6">
        <f t="shared" si="38"/>
        <v>-373.5</v>
      </c>
      <c r="M72" s="2"/>
      <c r="N72" s="7">
        <f t="shared" si="39"/>
        <v>-0.249</v>
      </c>
      <c r="O72" s="11"/>
      <c r="P72" s="6">
        <v>1126.5</v>
      </c>
      <c r="Q72" s="2"/>
      <c r="R72" s="7">
        <f t="shared" si="40"/>
        <v>0</v>
      </c>
      <c r="S72" s="2"/>
      <c r="T72" s="6">
        <v>1500</v>
      </c>
      <c r="U72" s="2"/>
      <c r="V72" s="7">
        <f t="shared" si="41"/>
        <v>0</v>
      </c>
      <c r="W72" s="2"/>
      <c r="X72" s="6">
        <f t="shared" si="42"/>
        <v>-373.5</v>
      </c>
      <c r="Y72" s="2"/>
      <c r="Z72" s="7">
        <f t="shared" si="43"/>
        <v>-0.249</v>
      </c>
    </row>
    <row r="73" spans="1:26" s="29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SUM(OSRRefD22_16x_0)</f>
        <v>0</v>
      </c>
      <c r="E73" s="1"/>
      <c r="F73" s="5">
        <f t="shared" si="36"/>
        <v>0</v>
      </c>
      <c r="G73" s="1"/>
      <c r="H73" s="1">
        <f>SUM(OSRRefH22_16x_0)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SUM(OSRRefP22_16x_0)</f>
        <v>0</v>
      </c>
      <c r="Q73" s="1"/>
      <c r="R73" s="5">
        <f t="shared" si="40"/>
        <v>0</v>
      </c>
      <c r="S73" s="1"/>
      <c r="T73" s="1">
        <f>SUM(OSRRefT22_16x_0)</f>
        <v>100</v>
      </c>
      <c r="U73" s="1"/>
      <c r="V73" s="5">
        <f t="shared" si="41"/>
        <v>0</v>
      </c>
      <c r="W73" s="1"/>
      <c r="X73" s="1">
        <f t="shared" si="42"/>
        <v>-100</v>
      </c>
      <c r="Y73" s="1"/>
      <c r="Z73" s="5">
        <f t="shared" si="43"/>
        <v>-1</v>
      </c>
    </row>
    <row r="74" spans="1:26" s="24" customFormat="1" hidden="1" outlineLevel="2" x14ac:dyDescent="0.25">
      <c r="A74" s="28"/>
      <c r="B74" s="11" t="str">
        <f>CONCATENATE("          ", "6294", " - ", "TRAVEL OPERATIONAL")</f>
        <v xml:space="preserve">          6294 - TRAVEL OPERATIONAL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/>
      <c r="Q74" s="2"/>
      <c r="R74" s="7">
        <f t="shared" si="40"/>
        <v>0</v>
      </c>
      <c r="S74" s="2"/>
      <c r="T74" s="6">
        <v>100</v>
      </c>
      <c r="U74" s="2"/>
      <c r="V74" s="7">
        <f t="shared" si="41"/>
        <v>0</v>
      </c>
      <c r="W74" s="2"/>
      <c r="X74" s="6">
        <f t="shared" si="42"/>
        <v>-100</v>
      </c>
      <c r="Y74" s="2"/>
      <c r="Z74" s="7">
        <f t="shared" si="43"/>
        <v>-1</v>
      </c>
    </row>
    <row r="75" spans="1:26" s="62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+D17-D19+D76</f>
        <v>-45348.319999999992</v>
      </c>
      <c r="E78" s="13"/>
      <c r="F78" s="20">
        <f>IF(D$12=0,0,D78/D$12)</f>
        <v>0</v>
      </c>
      <c r="G78" s="13"/>
      <c r="H78" s="21">
        <f>+H17-H19+H76</f>
        <v>-61243.75790769227</v>
      </c>
      <c r="I78" s="13"/>
      <c r="J78" s="20">
        <f>IF(H$12=0,0,H78/H$12)</f>
        <v>0</v>
      </c>
      <c r="K78" s="16"/>
      <c r="L78" s="21">
        <f>+D78-H78</f>
        <v>15895.437907692278</v>
      </c>
      <c r="M78" s="16"/>
      <c r="N78" s="20">
        <f>IF(H78=0,0,L78/H78)</f>
        <v>-0.25954380414817418</v>
      </c>
      <c r="O78" s="26"/>
      <c r="P78" s="21">
        <f>+P17-P19+P76</f>
        <v>-187915.14</v>
      </c>
      <c r="Q78" s="13"/>
      <c r="R78" s="20">
        <f>IF(P$12=0,0,P78/P$12)</f>
        <v>0</v>
      </c>
      <c r="S78" s="13"/>
      <c r="T78" s="21">
        <f>+T17-T19+T76</f>
        <v>-261774.44729230754</v>
      </c>
      <c r="U78" s="13"/>
      <c r="V78" s="20">
        <f>IF(T$12=0,0,T78/T$12)</f>
        <v>0</v>
      </c>
      <c r="W78" s="16"/>
      <c r="X78" s="21">
        <f>+P78-T78</f>
        <v>73859.307292307523</v>
      </c>
      <c r="Y78" s="16"/>
      <c r="Z78" s="20">
        <f>IF(T78=0,0,X78/T78)</f>
        <v>-0.28214865146800727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1">
        <f>+D78-D80</f>
        <v>-45348.319999999992</v>
      </c>
      <c r="E82" s="13"/>
      <c r="F82" s="34">
        <f>IF(D$12=0,0,D82/D$12)</f>
        <v>0</v>
      </c>
      <c r="G82" s="13"/>
      <c r="H82" s="31">
        <f>+H78-H80</f>
        <v>-61243.75790769227</v>
      </c>
      <c r="I82" s="13"/>
      <c r="J82" s="34">
        <f>IF(H$12=0,0,H82/H$12)</f>
        <v>0</v>
      </c>
      <c r="K82" s="16"/>
      <c r="L82" s="31">
        <f>D82-H82</f>
        <v>15895.437907692278</v>
      </c>
      <c r="M82" s="16"/>
      <c r="N82" s="34">
        <f>IF(H82=0,0,L82/H82)</f>
        <v>-0.25954380414817418</v>
      </c>
      <c r="O82" s="26"/>
      <c r="P82" s="31">
        <f>+P78-P80</f>
        <v>-187915.14</v>
      </c>
      <c r="Q82" s="13"/>
      <c r="R82" s="34">
        <f>IF(P$12=0,0,P82/P$12)</f>
        <v>0</v>
      </c>
      <c r="S82" s="13"/>
      <c r="T82" s="31">
        <f>+T78-T80</f>
        <v>-261774.44729230754</v>
      </c>
      <c r="U82" s="13"/>
      <c r="V82" s="34">
        <f>IF(T$12=0,0,T82/T$12)</f>
        <v>0</v>
      </c>
      <c r="W82" s="16"/>
      <c r="X82" s="31">
        <f>P82-T82</f>
        <v>73859.307292307523</v>
      </c>
      <c r="Y82" s="16"/>
      <c r="Z82" s="34">
        <f>IF(T82=0,0,X82/T82)</f>
        <v>-0.28214865146800727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-45348.319999999992</v>
      </c>
      <c r="E85" s="13"/>
      <c r="F85" s="30">
        <f>IF(D$12=0,0,D85/D$12)</f>
        <v>0</v>
      </c>
      <c r="G85" s="13"/>
      <c r="H85" s="33">
        <f>SUM(H82:H84)</f>
        <v>-61243.75790769227</v>
      </c>
      <c r="I85" s="13"/>
      <c r="J85" s="30">
        <f>IF(H$12=0,0,H85/H$12)</f>
        <v>0</v>
      </c>
      <c r="K85" s="16"/>
      <c r="L85" s="33">
        <f>+D85-H85</f>
        <v>15895.437907692278</v>
      </c>
      <c r="M85" s="16"/>
      <c r="N85" s="30">
        <f>IF(H85=0,0,L85/H85)</f>
        <v>-0.25954380414817418</v>
      </c>
      <c r="O85" s="26"/>
      <c r="P85" s="33">
        <f>SUM(P82:P84)</f>
        <v>-187915.14</v>
      </c>
      <c r="Q85" s="13"/>
      <c r="R85" s="30">
        <f>IF(P$12=0,0,P85/P$12)</f>
        <v>0</v>
      </c>
      <c r="S85" s="13"/>
      <c r="T85" s="33">
        <f>SUM(T82:T84)</f>
        <v>-261774.44729230754</v>
      </c>
      <c r="U85" s="13"/>
      <c r="V85" s="30">
        <f>IF(T$12=0,0,T85/T$12)</f>
        <v>0</v>
      </c>
      <c r="W85" s="16"/>
      <c r="X85" s="33">
        <f>+P85-T85</f>
        <v>73859.307292307523</v>
      </c>
      <c r="Y85" s="16"/>
      <c r="Z85" s="30">
        <f>IF(T85=0,0,X85/T85)</f>
        <v>-0.28214865146800727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>
        <v>44174.679322303244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6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34438.06</v>
      </c>
      <c r="E19" s="19"/>
      <c r="F19" s="35">
        <f t="shared" ref="F19:F29" si="4">IF(D$12=0,0,D19/D$12)</f>
        <v>0</v>
      </c>
      <c r="G19" s="19"/>
      <c r="H19" s="19">
        <f>SUM(OSRRefH22x_0)</f>
        <v>35506.791615384667</v>
      </c>
      <c r="I19" s="19"/>
      <c r="J19" s="35">
        <f t="shared" ref="J19:J29" si="5">IF(H$12=0,0,H19/H$12)</f>
        <v>0</v>
      </c>
      <c r="K19" s="4"/>
      <c r="L19" s="19">
        <f t="shared" ref="L19:L29" si="6">+D19-H19</f>
        <v>-1068.7316153846696</v>
      </c>
      <c r="M19" s="4"/>
      <c r="N19" s="35">
        <f t="shared" ref="N19:N29" si="7">IF(H19=0,0,L19/H19)</f>
        <v>-3.0099357524648918E-2</v>
      </c>
      <c r="O19" s="10"/>
      <c r="P19" s="19">
        <f>SUM(OSRRefP22x_0)</f>
        <v>190594.6</v>
      </c>
      <c r="Q19" s="19"/>
      <c r="R19" s="35">
        <f t="shared" ref="R19:R29" si="8">IF(P$12=0,0,P19/P$12)</f>
        <v>0</v>
      </c>
      <c r="S19" s="19"/>
      <c r="T19" s="19">
        <f>SUM(OSRRefT22x_0)</f>
        <v>197411.18388461557</v>
      </c>
      <c r="U19" s="19"/>
      <c r="V19" s="35">
        <f t="shared" ref="V19:V29" si="9">IF(T$12=0,0,T19/T$12)</f>
        <v>0</v>
      </c>
      <c r="W19" s="4"/>
      <c r="X19" s="19">
        <f t="shared" ref="X19:X29" si="10">+P19-T19</f>
        <v>-6816.5838846155675</v>
      </c>
      <c r="Y19" s="4"/>
      <c r="Z19" s="35">
        <f t="shared" ref="Z19:Z29" si="11">IF(T19=0,0,X19/T19)</f>
        <v>-3.4529876932402052E-2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13535.680000000002</v>
      </c>
      <c r="E20" s="1"/>
      <c r="F20" s="5">
        <f t="shared" si="4"/>
        <v>0</v>
      </c>
      <c r="G20" s="1"/>
      <c r="H20" s="1">
        <f>SUM(OSRRefH22_0x_0)</f>
        <v>11822.176230769233</v>
      </c>
      <c r="I20" s="1"/>
      <c r="J20" s="5">
        <f t="shared" si="5"/>
        <v>0</v>
      </c>
      <c r="K20" s="1"/>
      <c r="L20" s="1">
        <f t="shared" si="6"/>
        <v>1713.5037692307687</v>
      </c>
      <c r="M20" s="1"/>
      <c r="N20" s="5">
        <f t="shared" si="7"/>
        <v>0.14493979245302421</v>
      </c>
      <c r="O20" s="14"/>
      <c r="P20" s="1">
        <f>SUM(OSRRefP22_0x_0)</f>
        <v>67076.409999999989</v>
      </c>
      <c r="Q20" s="1"/>
      <c r="R20" s="5">
        <f t="shared" si="8"/>
        <v>0</v>
      </c>
      <c r="S20" s="1"/>
      <c r="T20" s="1">
        <f>SUM(OSRRefT22_0x_0)</f>
        <v>60876.799269230803</v>
      </c>
      <c r="U20" s="1"/>
      <c r="V20" s="5">
        <f t="shared" si="9"/>
        <v>0</v>
      </c>
      <c r="W20" s="1"/>
      <c r="X20" s="1">
        <f t="shared" si="10"/>
        <v>6199.6107307691855</v>
      </c>
      <c r="Y20" s="1"/>
      <c r="Z20" s="5">
        <f t="shared" si="11"/>
        <v>0.10183864469206216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1639.1</v>
      </c>
      <c r="E21" s="2"/>
      <c r="F21" s="7">
        <f t="shared" si="4"/>
        <v>0</v>
      </c>
      <c r="G21" s="2"/>
      <c r="H21" s="6">
        <v>1625.37946153846</v>
      </c>
      <c r="I21" s="2"/>
      <c r="J21" s="7">
        <f t="shared" si="5"/>
        <v>0</v>
      </c>
      <c r="K21" s="2"/>
      <c r="L21" s="6">
        <f t="shared" si="6"/>
        <v>13.720538461539945</v>
      </c>
      <c r="M21" s="2"/>
      <c r="N21" s="7">
        <f t="shared" si="7"/>
        <v>8.4414370835922421E-3</v>
      </c>
      <c r="O21" s="11"/>
      <c r="P21" s="6">
        <v>10177.43</v>
      </c>
      <c r="Q21" s="2"/>
      <c r="R21" s="7">
        <f t="shared" si="8"/>
        <v>0</v>
      </c>
      <c r="S21" s="2"/>
      <c r="T21" s="6">
        <v>8939.5870384615391</v>
      </c>
      <c r="U21" s="2"/>
      <c r="V21" s="7">
        <f t="shared" si="9"/>
        <v>0</v>
      </c>
      <c r="W21" s="2"/>
      <c r="X21" s="6">
        <f t="shared" si="10"/>
        <v>1237.8429615384612</v>
      </c>
      <c r="Y21" s="2"/>
      <c r="Z21" s="7">
        <f t="shared" si="11"/>
        <v>0.13846757755283159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157.1</v>
      </c>
      <c r="E22" s="2"/>
      <c r="F22" s="7">
        <f t="shared" si="4"/>
        <v>0</v>
      </c>
      <c r="G22" s="2"/>
      <c r="H22" s="6">
        <v>73.518923076923102</v>
      </c>
      <c r="I22" s="2"/>
      <c r="J22" s="7">
        <f t="shared" si="5"/>
        <v>0</v>
      </c>
      <c r="K22" s="2"/>
      <c r="L22" s="6">
        <f t="shared" si="6"/>
        <v>83.581076923076893</v>
      </c>
      <c r="M22" s="2"/>
      <c r="N22" s="7">
        <f t="shared" si="7"/>
        <v>1.1368648155472263</v>
      </c>
      <c r="O22" s="11"/>
      <c r="P22" s="6">
        <v>437.2</v>
      </c>
      <c r="Q22" s="2"/>
      <c r="R22" s="7">
        <f t="shared" si="8"/>
        <v>0</v>
      </c>
      <c r="S22" s="2"/>
      <c r="T22" s="6">
        <v>400.0640769230771</v>
      </c>
      <c r="U22" s="2"/>
      <c r="V22" s="7">
        <f t="shared" si="9"/>
        <v>0</v>
      </c>
      <c r="W22" s="2"/>
      <c r="X22" s="6">
        <f t="shared" si="10"/>
        <v>37.135923076922893</v>
      </c>
      <c r="Y22" s="2"/>
      <c r="Z22" s="7">
        <f t="shared" si="11"/>
        <v>9.2824937851301401E-2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6246.72</v>
      </c>
      <c r="E23" s="2"/>
      <c r="F23" s="7">
        <f t="shared" si="4"/>
        <v>0</v>
      </c>
      <c r="G23" s="2"/>
      <c r="H23" s="6">
        <v>5415</v>
      </c>
      <c r="I23" s="2"/>
      <c r="J23" s="7">
        <f t="shared" si="5"/>
        <v>0</v>
      </c>
      <c r="K23" s="2"/>
      <c r="L23" s="6">
        <f t="shared" si="6"/>
        <v>831.72000000000025</v>
      </c>
      <c r="M23" s="2"/>
      <c r="N23" s="7">
        <f t="shared" si="7"/>
        <v>0.15359556786703607</v>
      </c>
      <c r="O23" s="11"/>
      <c r="P23" s="6">
        <v>29194.560000000001</v>
      </c>
      <c r="Q23" s="2"/>
      <c r="R23" s="7">
        <f t="shared" si="8"/>
        <v>0</v>
      </c>
      <c r="S23" s="2"/>
      <c r="T23" s="6">
        <v>27075</v>
      </c>
      <c r="U23" s="2"/>
      <c r="V23" s="7">
        <f t="shared" si="9"/>
        <v>0</v>
      </c>
      <c r="W23" s="2"/>
      <c r="X23" s="6">
        <f t="shared" si="10"/>
        <v>2119.5600000000013</v>
      </c>
      <c r="Y23" s="2"/>
      <c r="Z23" s="7">
        <f t="shared" si="11"/>
        <v>7.8284764542936341E-2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123.77</v>
      </c>
      <c r="E24" s="2"/>
      <c r="F24" s="7">
        <f t="shared" si="4"/>
        <v>0</v>
      </c>
      <c r="G24" s="2"/>
      <c r="H24" s="6">
        <v>57.923999999999999</v>
      </c>
      <c r="I24" s="2"/>
      <c r="J24" s="7">
        <f t="shared" si="5"/>
        <v>0</v>
      </c>
      <c r="K24" s="2"/>
      <c r="L24" s="6">
        <f t="shared" si="6"/>
        <v>65.846000000000004</v>
      </c>
      <c r="M24" s="2"/>
      <c r="N24" s="7">
        <f t="shared" si="7"/>
        <v>1.1367654167529868</v>
      </c>
      <c r="O24" s="11"/>
      <c r="P24" s="6">
        <v>344.44</v>
      </c>
      <c r="Q24" s="2"/>
      <c r="R24" s="7">
        <f t="shared" si="8"/>
        <v>0</v>
      </c>
      <c r="S24" s="2"/>
      <c r="T24" s="6">
        <v>315.202</v>
      </c>
      <c r="U24" s="2"/>
      <c r="V24" s="7">
        <f t="shared" si="9"/>
        <v>0</v>
      </c>
      <c r="W24" s="2"/>
      <c r="X24" s="6">
        <f t="shared" si="10"/>
        <v>29.238</v>
      </c>
      <c r="Y24" s="2"/>
      <c r="Z24" s="7">
        <f t="shared" si="11"/>
        <v>9.2759563708352102E-2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2830.05</v>
      </c>
      <c r="E25" s="2"/>
      <c r="F25" s="7">
        <f t="shared" si="4"/>
        <v>0</v>
      </c>
      <c r="G25" s="2"/>
      <c r="H25" s="6">
        <v>1826.5076923076901</v>
      </c>
      <c r="I25" s="2"/>
      <c r="J25" s="7">
        <f t="shared" si="5"/>
        <v>0</v>
      </c>
      <c r="K25" s="2"/>
      <c r="L25" s="6">
        <f t="shared" si="6"/>
        <v>1003.54230769231</v>
      </c>
      <c r="M25" s="2"/>
      <c r="N25" s="7">
        <f t="shared" si="7"/>
        <v>0.54943229197375598</v>
      </c>
      <c r="O25" s="11"/>
      <c r="P25" s="6">
        <v>11734.48</v>
      </c>
      <c r="Q25" s="2"/>
      <c r="R25" s="7">
        <f t="shared" si="8"/>
        <v>0</v>
      </c>
      <c r="S25" s="2"/>
      <c r="T25" s="6">
        <v>10045.792307692309</v>
      </c>
      <c r="U25" s="2"/>
      <c r="V25" s="7">
        <f t="shared" si="9"/>
        <v>0</v>
      </c>
      <c r="W25" s="2"/>
      <c r="X25" s="6">
        <f t="shared" si="10"/>
        <v>1688.6876923076907</v>
      </c>
      <c r="Y25" s="2"/>
      <c r="Z25" s="7">
        <f t="shared" si="11"/>
        <v>0.16809900509436385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1559.44</v>
      </c>
      <c r="E27" s="2"/>
      <c r="F27" s="7">
        <f t="shared" si="4"/>
        <v>0</v>
      </c>
      <c r="G27" s="2"/>
      <c r="H27" s="6">
        <v>1061.9230769230799</v>
      </c>
      <c r="I27" s="2"/>
      <c r="J27" s="7">
        <f t="shared" si="5"/>
        <v>0</v>
      </c>
      <c r="K27" s="2"/>
      <c r="L27" s="6">
        <f t="shared" si="6"/>
        <v>497.51692307692019</v>
      </c>
      <c r="M27" s="2"/>
      <c r="N27" s="7">
        <f t="shared" si="7"/>
        <v>0.46850561390800033</v>
      </c>
      <c r="O27" s="11"/>
      <c r="P27" s="6">
        <v>8538.23</v>
      </c>
      <c r="Q27" s="2"/>
      <c r="R27" s="7">
        <f t="shared" si="8"/>
        <v>0</v>
      </c>
      <c r="S27" s="2"/>
      <c r="T27" s="6">
        <v>5840.5769230769401</v>
      </c>
      <c r="U27" s="2"/>
      <c r="V27" s="7">
        <f t="shared" si="9"/>
        <v>0</v>
      </c>
      <c r="W27" s="2"/>
      <c r="X27" s="6">
        <f t="shared" si="10"/>
        <v>2697.6530769230594</v>
      </c>
      <c r="Y27" s="2"/>
      <c r="Z27" s="7">
        <f t="shared" si="11"/>
        <v>0.46188126831516474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979.42</v>
      </c>
      <c r="E28" s="2"/>
      <c r="F28" s="7">
        <f t="shared" si="4"/>
        <v>0</v>
      </c>
      <c r="G28" s="2"/>
      <c r="H28" s="6">
        <v>1061.9230769230799</v>
      </c>
      <c r="I28" s="2"/>
      <c r="J28" s="7">
        <f t="shared" si="5"/>
        <v>0</v>
      </c>
      <c r="K28" s="2"/>
      <c r="L28" s="6">
        <f t="shared" si="6"/>
        <v>-82.503076923079902</v>
      </c>
      <c r="M28" s="2"/>
      <c r="N28" s="7">
        <f t="shared" si="7"/>
        <v>-7.7692140528796499E-2</v>
      </c>
      <c r="O28" s="11"/>
      <c r="P28" s="6">
        <v>5386.81</v>
      </c>
      <c r="Q28" s="2"/>
      <c r="R28" s="7">
        <f t="shared" si="8"/>
        <v>0</v>
      </c>
      <c r="S28" s="2"/>
      <c r="T28" s="6">
        <v>5840.5769230769401</v>
      </c>
      <c r="U28" s="2"/>
      <c r="V28" s="7">
        <f t="shared" si="9"/>
        <v>0</v>
      </c>
      <c r="W28" s="2"/>
      <c r="X28" s="6">
        <f t="shared" si="10"/>
        <v>-453.76692307693975</v>
      </c>
      <c r="Y28" s="2"/>
      <c r="Z28" s="7">
        <f t="shared" si="11"/>
        <v>-7.7692140528796541E-2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0.08</v>
      </c>
      <c r="E29" s="2"/>
      <c r="F29" s="7">
        <f t="shared" si="4"/>
        <v>0</v>
      </c>
      <c r="G29" s="2"/>
      <c r="H29" s="6">
        <v>700</v>
      </c>
      <c r="I29" s="2"/>
      <c r="J29" s="7">
        <f t="shared" si="5"/>
        <v>0</v>
      </c>
      <c r="K29" s="2"/>
      <c r="L29" s="6">
        <f t="shared" si="6"/>
        <v>-699.92</v>
      </c>
      <c r="M29" s="2"/>
      <c r="N29" s="7">
        <f t="shared" si="7"/>
        <v>-0.99988571428571427</v>
      </c>
      <c r="O29" s="11"/>
      <c r="P29" s="6">
        <v>1263.26</v>
      </c>
      <c r="Q29" s="2"/>
      <c r="R29" s="7">
        <f t="shared" si="8"/>
        <v>0</v>
      </c>
      <c r="S29" s="2"/>
      <c r="T29" s="6">
        <v>2420</v>
      </c>
      <c r="U29" s="2"/>
      <c r="V29" s="7">
        <f t="shared" si="9"/>
        <v>0</v>
      </c>
      <c r="W29" s="2"/>
      <c r="X29" s="6">
        <f t="shared" si="10"/>
        <v>-1156.74</v>
      </c>
      <c r="Y29" s="2"/>
      <c r="Z29" s="7">
        <f t="shared" si="11"/>
        <v>-0.4779917355371901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18048.769999999997</v>
      </c>
      <c r="E30" s="1"/>
      <c r="F30" s="5">
        <f t="shared" ref="F30:F40" si="12">IF(D$12=0,0,D30/D$12)</f>
        <v>0</v>
      </c>
      <c r="G30" s="1"/>
      <c r="H30" s="1">
        <f>SUM(OSRRefH22_1x_0)</f>
        <v>20154.61538461543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-2105.8453846154334</v>
      </c>
      <c r="M30" s="1"/>
      <c r="N30" s="5">
        <f t="shared" ref="N30:N40" si="15">IF(H30=0,0,L30/H30)</f>
        <v>-0.10448452349147197</v>
      </c>
      <c r="O30" s="14"/>
      <c r="P30" s="1">
        <f>SUM(OSRRefP22_1x_0)</f>
        <v>107521.56</v>
      </c>
      <c r="Q30" s="1"/>
      <c r="R30" s="5">
        <f t="shared" ref="R30:R40" si="16">IF(P$12=0,0,P30/P$12)</f>
        <v>0</v>
      </c>
      <c r="S30" s="1"/>
      <c r="T30" s="1">
        <f>SUM(OSRRefT22_1x_0)</f>
        <v>109550.38461538477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-2028.8246153847722</v>
      </c>
      <c r="Y30" s="1"/>
      <c r="Z30" s="5">
        <f t="shared" ref="Z30:Z40" si="19">IF(T30=0,0,X30/T30)</f>
        <v>-1.8519557211119576E-2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5420.7692307692296</v>
      </c>
      <c r="I31" s="2"/>
      <c r="J31" s="7">
        <f t="shared" si="13"/>
        <v>0</v>
      </c>
      <c r="K31" s="2"/>
      <c r="L31" s="6">
        <f t="shared" si="14"/>
        <v>-5420.7692307692296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29814.23076923077</v>
      </c>
      <c r="U31" s="2"/>
      <c r="V31" s="7">
        <f t="shared" si="17"/>
        <v>0</v>
      </c>
      <c r="W31" s="2"/>
      <c r="X31" s="6">
        <f t="shared" si="18"/>
        <v>-29814.23076923077</v>
      </c>
      <c r="Y31" s="2"/>
      <c r="Z31" s="7">
        <f t="shared" si="19"/>
        <v>-1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18048.769999999997</v>
      </c>
      <c r="E32" s="2"/>
      <c r="F32" s="7">
        <f t="shared" si="12"/>
        <v>0</v>
      </c>
      <c r="G32" s="2"/>
      <c r="H32" s="6">
        <v>13693.846153846202</v>
      </c>
      <c r="I32" s="2"/>
      <c r="J32" s="7">
        <f t="shared" si="13"/>
        <v>0</v>
      </c>
      <c r="K32" s="2"/>
      <c r="L32" s="6">
        <f t="shared" si="14"/>
        <v>4354.9238461537952</v>
      </c>
      <c r="M32" s="2"/>
      <c r="N32" s="7">
        <f t="shared" si="15"/>
        <v>0.31802050331422954</v>
      </c>
      <c r="O32" s="11"/>
      <c r="P32" s="6">
        <v>107139.8</v>
      </c>
      <c r="Q32" s="2"/>
      <c r="R32" s="7">
        <f t="shared" si="16"/>
        <v>0</v>
      </c>
      <c r="S32" s="2"/>
      <c r="T32" s="6">
        <v>75316.153846154004</v>
      </c>
      <c r="U32" s="2"/>
      <c r="V32" s="7">
        <f t="shared" si="17"/>
        <v>0</v>
      </c>
      <c r="W32" s="2"/>
      <c r="X32" s="6">
        <f t="shared" si="18"/>
        <v>31823.646153845999</v>
      </c>
      <c r="Y32" s="2"/>
      <c r="Z32" s="7">
        <f t="shared" si="19"/>
        <v>0.42253413814586421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>
        <v>265.48</v>
      </c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265.48</v>
      </c>
      <c r="Y35" s="2"/>
      <c r="Z35" s="7">
        <f t="shared" si="19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>
        <v>116.28</v>
      </c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116.28</v>
      </c>
      <c r="Y37" s="2"/>
      <c r="Z37" s="7">
        <f t="shared" si="19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1040</v>
      </c>
      <c r="I38" s="2"/>
      <c r="J38" s="7">
        <f t="shared" si="13"/>
        <v>0</v>
      </c>
      <c r="K38" s="2"/>
      <c r="L38" s="6">
        <f t="shared" si="14"/>
        <v>-1040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4420</v>
      </c>
      <c r="U38" s="2"/>
      <c r="V38" s="7">
        <f t="shared" si="17"/>
        <v>0</v>
      </c>
      <c r="W38" s="2"/>
      <c r="X38" s="6">
        <f t="shared" si="18"/>
        <v>-4420</v>
      </c>
      <c r="Y38" s="2"/>
      <c r="Z38" s="7">
        <f t="shared" si="19"/>
        <v>-1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9" customFormat="1" outlineLevel="1" collapsed="1" x14ac:dyDescent="0.2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7794.4</v>
      </c>
      <c r="Q41" s="1"/>
      <c r="R41" s="5">
        <f t="shared" ref="R41:R47" si="24">IF(P$12=0,0,P41/P$12)</f>
        <v>0</v>
      </c>
      <c r="S41" s="1"/>
      <c r="T41" s="1">
        <f>SUM(OSRRefT22_2x_0)</f>
        <v>7795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-0.6000000000003638</v>
      </c>
      <c r="Y41" s="1"/>
      <c r="Z41" s="5">
        <f t="shared" ref="Z41:Z47" si="27">IF(T41=0,0,X41/T41)</f>
        <v>-7.6972418216852311E-5</v>
      </c>
    </row>
    <row r="42" spans="1:26" s="24" customFormat="1" hidden="1" outlineLevel="2" x14ac:dyDescent="0.25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1558.88</v>
      </c>
      <c r="E42" s="2"/>
      <c r="F42" s="7">
        <f t="shared" si="20"/>
        <v>0</v>
      </c>
      <c r="G42" s="2"/>
      <c r="H42" s="6">
        <v>1559</v>
      </c>
      <c r="I42" s="2"/>
      <c r="J42" s="7">
        <f t="shared" si="21"/>
        <v>0</v>
      </c>
      <c r="K42" s="2"/>
      <c r="L42" s="6">
        <f t="shared" si="22"/>
        <v>-0.11999999999989086</v>
      </c>
      <c r="M42" s="2"/>
      <c r="N42" s="7">
        <f t="shared" si="23"/>
        <v>-7.6972418216735637E-5</v>
      </c>
      <c r="O42" s="11"/>
      <c r="P42" s="6">
        <v>7794.4</v>
      </c>
      <c r="Q42" s="2"/>
      <c r="R42" s="7">
        <f t="shared" si="24"/>
        <v>0</v>
      </c>
      <c r="S42" s="2"/>
      <c r="T42" s="6">
        <v>7795</v>
      </c>
      <c r="U42" s="2"/>
      <c r="V42" s="7">
        <f t="shared" si="25"/>
        <v>0</v>
      </c>
      <c r="W42" s="2"/>
      <c r="X42" s="6">
        <f t="shared" si="26"/>
        <v>-0.6000000000003638</v>
      </c>
      <c r="Y42" s="2"/>
      <c r="Z42" s="7">
        <f t="shared" si="27"/>
        <v>-7.6972418216852311E-5</v>
      </c>
    </row>
    <row r="43" spans="1:26" s="29" customFormat="1" outlineLevel="1" collapsed="1" x14ac:dyDescent="0.25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456.3</v>
      </c>
      <c r="Q43" s="1"/>
      <c r="R43" s="5">
        <f t="shared" si="24"/>
        <v>0</v>
      </c>
      <c r="S43" s="1"/>
      <c r="T43" s="1">
        <f>SUM(OSRRefT22_3x_0)</f>
        <v>455</v>
      </c>
      <c r="U43" s="1"/>
      <c r="V43" s="5">
        <f t="shared" si="25"/>
        <v>0</v>
      </c>
      <c r="W43" s="1"/>
      <c r="X43" s="1">
        <f t="shared" si="26"/>
        <v>1.3000000000000114</v>
      </c>
      <c r="Y43" s="1"/>
      <c r="Z43" s="5">
        <f t="shared" si="27"/>
        <v>2.8571428571428823E-3</v>
      </c>
    </row>
    <row r="44" spans="1:26" s="24" customFormat="1" hidden="1" outlineLevel="2" x14ac:dyDescent="0.25">
      <c r="A44" s="28"/>
      <c r="B44" s="11" t="str">
        <f>CONCATENATE("          ", "6351", " - ", "EQUIPMENT RENTAL")</f>
        <v xml:space="preserve">          6351 - EQUIPMENT RENTAL</v>
      </c>
      <c r="C44" s="11"/>
      <c r="D44" s="6">
        <v>91.26</v>
      </c>
      <c r="E44" s="2"/>
      <c r="F44" s="7">
        <f t="shared" si="20"/>
        <v>0</v>
      </c>
      <c r="G44" s="2"/>
      <c r="H44" s="6">
        <v>91</v>
      </c>
      <c r="I44" s="2"/>
      <c r="J44" s="7">
        <f t="shared" si="21"/>
        <v>0</v>
      </c>
      <c r="K44" s="2"/>
      <c r="L44" s="6">
        <f t="shared" si="22"/>
        <v>0.26000000000000512</v>
      </c>
      <c r="M44" s="2"/>
      <c r="N44" s="7">
        <f t="shared" si="23"/>
        <v>2.8571428571429135E-3</v>
      </c>
      <c r="O44" s="11"/>
      <c r="P44" s="6">
        <v>456.3</v>
      </c>
      <c r="Q44" s="2"/>
      <c r="R44" s="7">
        <f t="shared" si="24"/>
        <v>0</v>
      </c>
      <c r="S44" s="2"/>
      <c r="T44" s="6">
        <v>455</v>
      </c>
      <c r="U44" s="2"/>
      <c r="V44" s="7">
        <f t="shared" si="25"/>
        <v>0</v>
      </c>
      <c r="W44" s="2"/>
      <c r="X44" s="6">
        <f t="shared" si="26"/>
        <v>1.3000000000000114</v>
      </c>
      <c r="Y44" s="2"/>
      <c r="Z44" s="7">
        <f t="shared" si="27"/>
        <v>2.8571428571428823E-3</v>
      </c>
    </row>
    <row r="45" spans="1:26" s="29" customFormat="1" outlineLevel="1" collapsed="1" x14ac:dyDescent="0.25">
      <c r="A45" s="27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78.5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-21.5</v>
      </c>
      <c r="M45" s="1"/>
      <c r="N45" s="5">
        <f t="shared" si="23"/>
        <v>-0.215</v>
      </c>
      <c r="O45" s="14"/>
      <c r="P45" s="1">
        <f>SUM(OSRRefP22_4x_0)</f>
        <v>538.36</v>
      </c>
      <c r="Q45" s="1"/>
      <c r="R45" s="5">
        <f t="shared" si="24"/>
        <v>0</v>
      </c>
      <c r="S45" s="1"/>
      <c r="T45" s="1">
        <f>SUM(OSRRefT22_4x_0)</f>
        <v>500</v>
      </c>
      <c r="U45" s="1"/>
      <c r="V45" s="5">
        <f t="shared" si="25"/>
        <v>0</v>
      </c>
      <c r="W45" s="1"/>
      <c r="X45" s="1">
        <f t="shared" si="26"/>
        <v>38.360000000000014</v>
      </c>
      <c r="Y45" s="1"/>
      <c r="Z45" s="5">
        <f t="shared" si="27"/>
        <v>7.6720000000000024E-2</v>
      </c>
    </row>
    <row r="46" spans="1:26" s="24" customFormat="1" hidden="1" outlineLevel="2" x14ac:dyDescent="0.25">
      <c r="A46" s="28"/>
      <c r="B46" s="11" t="str">
        <f>CONCATENATE("          ", "6305", " - ", "FREIGHT OUT")</f>
        <v xml:space="preserve">          6305 - FREIGHT OUT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5.41</v>
      </c>
      <c r="Q46" s="2"/>
      <c r="R46" s="7">
        <f t="shared" si="24"/>
        <v>0</v>
      </c>
      <c r="S46" s="2"/>
      <c r="T46" s="6"/>
      <c r="U46" s="2"/>
      <c r="V46" s="7">
        <f t="shared" si="25"/>
        <v>0</v>
      </c>
      <c r="W46" s="2"/>
      <c r="X46" s="6">
        <f t="shared" si="26"/>
        <v>5.41</v>
      </c>
      <c r="Y46" s="2"/>
      <c r="Z46" s="7">
        <f t="shared" si="27"/>
        <v>0</v>
      </c>
    </row>
    <row r="47" spans="1:26" s="24" customFormat="1" hidden="1" outlineLevel="2" x14ac:dyDescent="0.25">
      <c r="A47" s="28"/>
      <c r="B47" s="11" t="str">
        <f>CONCATENATE("          ", "6307", " - ", "POSTAGE")</f>
        <v xml:space="preserve">          6307 - POSTAGE</v>
      </c>
      <c r="C47" s="11"/>
      <c r="D47" s="6">
        <v>78.5</v>
      </c>
      <c r="E47" s="2"/>
      <c r="F47" s="7">
        <f t="shared" si="20"/>
        <v>0</v>
      </c>
      <c r="G47" s="2"/>
      <c r="H47" s="6">
        <v>100</v>
      </c>
      <c r="I47" s="2"/>
      <c r="J47" s="7">
        <f t="shared" si="21"/>
        <v>0</v>
      </c>
      <c r="K47" s="2"/>
      <c r="L47" s="6">
        <f t="shared" si="22"/>
        <v>-21.5</v>
      </c>
      <c r="M47" s="2"/>
      <c r="N47" s="7">
        <f t="shared" si="23"/>
        <v>-0.215</v>
      </c>
      <c r="O47" s="11"/>
      <c r="P47" s="6">
        <v>532.95000000000005</v>
      </c>
      <c r="Q47" s="2"/>
      <c r="R47" s="7">
        <f t="shared" si="24"/>
        <v>0</v>
      </c>
      <c r="S47" s="2"/>
      <c r="T47" s="6">
        <v>500</v>
      </c>
      <c r="U47" s="2"/>
      <c r="V47" s="7">
        <f t="shared" si="25"/>
        <v>0</v>
      </c>
      <c r="W47" s="2"/>
      <c r="X47" s="6">
        <f t="shared" si="26"/>
        <v>32.950000000000045</v>
      </c>
      <c r="Y47" s="2"/>
      <c r="Z47" s="7">
        <f t="shared" si="27"/>
        <v>6.5900000000000097E-2</v>
      </c>
    </row>
    <row r="48" spans="1:26" s="29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660.85</v>
      </c>
      <c r="Q48" s="1"/>
      <c r="R48" s="5">
        <f t="shared" ref="R48:R54" si="32">IF(P$12=0,0,P48/P$12)</f>
        <v>0</v>
      </c>
      <c r="S48" s="1"/>
      <c r="T48" s="1">
        <f>SUM(OSRRefT22_5x_0)</f>
        <v>725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-64.149999999999977</v>
      </c>
      <c r="Y48" s="1"/>
      <c r="Z48" s="5">
        <f t="shared" ref="Z48:Z54" si="35">IF(T48=0,0,X48/T48)</f>
        <v>-8.8482758620689619E-2</v>
      </c>
    </row>
    <row r="49" spans="1:26" s="24" customFormat="1" hidden="1" outlineLevel="2" x14ac:dyDescent="0.25">
      <c r="A49" s="28"/>
      <c r="B49" s="11" t="str">
        <f>CONCATENATE("          ", "6314", " - ", "LIABILITY INSURANCE")</f>
        <v xml:space="preserve">          6314 - LIABILITY INSURANCE</v>
      </c>
      <c r="C49" s="11"/>
      <c r="D49" s="6">
        <v>132.16999999999999</v>
      </c>
      <c r="E49" s="2"/>
      <c r="F49" s="7">
        <f t="shared" si="28"/>
        <v>0</v>
      </c>
      <c r="G49" s="2"/>
      <c r="H49" s="6">
        <v>145</v>
      </c>
      <c r="I49" s="2"/>
      <c r="J49" s="7">
        <f t="shared" si="29"/>
        <v>0</v>
      </c>
      <c r="K49" s="2"/>
      <c r="L49" s="6">
        <f t="shared" si="30"/>
        <v>-12.830000000000013</v>
      </c>
      <c r="M49" s="2"/>
      <c r="N49" s="7">
        <f t="shared" si="31"/>
        <v>-8.8482758620689744E-2</v>
      </c>
      <c r="O49" s="11"/>
      <c r="P49" s="6">
        <v>660.85</v>
      </c>
      <c r="Q49" s="2"/>
      <c r="R49" s="7">
        <f t="shared" si="32"/>
        <v>0</v>
      </c>
      <c r="S49" s="2"/>
      <c r="T49" s="6">
        <v>725</v>
      </c>
      <c r="U49" s="2"/>
      <c r="V49" s="7">
        <f t="shared" si="33"/>
        <v>0</v>
      </c>
      <c r="W49" s="2"/>
      <c r="X49" s="6">
        <f t="shared" si="34"/>
        <v>-64.149999999999977</v>
      </c>
      <c r="Y49" s="2"/>
      <c r="Z49" s="7">
        <f t="shared" si="35"/>
        <v>-8.8482758620689619E-2</v>
      </c>
    </row>
    <row r="50" spans="1:26" s="29" customFormat="1" outlineLevel="1" collapsed="1" x14ac:dyDescent="0.2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1250</v>
      </c>
      <c r="U50" s="1"/>
      <c r="V50" s="5">
        <f t="shared" si="33"/>
        <v>0</v>
      </c>
      <c r="W50" s="1"/>
      <c r="X50" s="1">
        <f t="shared" si="34"/>
        <v>-1250</v>
      </c>
      <c r="Y50" s="1"/>
      <c r="Z50" s="5">
        <f t="shared" si="35"/>
        <v>-1</v>
      </c>
    </row>
    <row r="51" spans="1:26" s="24" customFormat="1" hidden="1" outlineLevel="2" x14ac:dyDescent="0.25">
      <c r="A51" s="28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28"/>
        <v>0</v>
      </c>
      <c r="G51" s="2"/>
      <c r="H51" s="6">
        <v>250</v>
      </c>
      <c r="I51" s="2"/>
      <c r="J51" s="7">
        <f t="shared" si="29"/>
        <v>0</v>
      </c>
      <c r="K51" s="2"/>
      <c r="L51" s="6">
        <f t="shared" si="30"/>
        <v>-250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1250</v>
      </c>
      <c r="U51" s="2"/>
      <c r="V51" s="7">
        <f t="shared" si="33"/>
        <v>0</v>
      </c>
      <c r="W51" s="2"/>
      <c r="X51" s="6">
        <f t="shared" si="34"/>
        <v>-1250</v>
      </c>
      <c r="Y51" s="2"/>
      <c r="Z51" s="7">
        <f t="shared" si="35"/>
        <v>-1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66.67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6.6700000000000017</v>
      </c>
      <c r="M52" s="1"/>
      <c r="N52" s="5">
        <f t="shared" si="31"/>
        <v>0.11116666666666669</v>
      </c>
      <c r="O52" s="14"/>
      <c r="P52" s="1">
        <f>SUM(OSRRefP22_7x_0)</f>
        <v>719.76</v>
      </c>
      <c r="Q52" s="1"/>
      <c r="R52" s="5">
        <f t="shared" si="32"/>
        <v>0</v>
      </c>
      <c r="S52" s="1"/>
      <c r="T52" s="1">
        <f>SUM(OSRRefT22_7x_0)</f>
        <v>300</v>
      </c>
      <c r="U52" s="1"/>
      <c r="V52" s="5">
        <f t="shared" si="33"/>
        <v>0</v>
      </c>
      <c r="W52" s="1"/>
      <c r="X52" s="1">
        <f t="shared" si="34"/>
        <v>419.76</v>
      </c>
      <c r="Y52" s="1"/>
      <c r="Z52" s="5">
        <f t="shared" si="35"/>
        <v>1.3992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59.95</v>
      </c>
      <c r="E53" s="2"/>
      <c r="F53" s="7">
        <f t="shared" si="28"/>
        <v>0</v>
      </c>
      <c r="G53" s="2"/>
      <c r="H53" s="6">
        <v>60</v>
      </c>
      <c r="I53" s="2"/>
      <c r="J53" s="7">
        <f t="shared" si="29"/>
        <v>0</v>
      </c>
      <c r="K53" s="2"/>
      <c r="L53" s="6">
        <f t="shared" si="30"/>
        <v>-4.9999999999997158E-2</v>
      </c>
      <c r="M53" s="2"/>
      <c r="N53" s="7">
        <f t="shared" si="31"/>
        <v>-8.3333333333328601E-4</v>
      </c>
      <c r="O53" s="11"/>
      <c r="P53" s="6">
        <v>671</v>
      </c>
      <c r="Q53" s="2"/>
      <c r="R53" s="7">
        <f t="shared" si="32"/>
        <v>0</v>
      </c>
      <c r="S53" s="2"/>
      <c r="T53" s="6">
        <v>300</v>
      </c>
      <c r="U53" s="2"/>
      <c r="V53" s="7">
        <f t="shared" si="33"/>
        <v>0</v>
      </c>
      <c r="W53" s="2"/>
      <c r="X53" s="6">
        <f t="shared" si="34"/>
        <v>371</v>
      </c>
      <c r="Y53" s="2"/>
      <c r="Z53" s="7">
        <f t="shared" si="35"/>
        <v>1.2366666666666666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6">
        <v>6.72</v>
      </c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6.72</v>
      </c>
      <c r="M54" s="2"/>
      <c r="N54" s="7">
        <f t="shared" si="31"/>
        <v>0</v>
      </c>
      <c r="O54" s="11"/>
      <c r="P54" s="6">
        <v>48.76</v>
      </c>
      <c r="Q54" s="2"/>
      <c r="R54" s="7">
        <f t="shared" si="32"/>
        <v>0</v>
      </c>
      <c r="S54" s="2"/>
      <c r="T54" s="6"/>
      <c r="U54" s="2"/>
      <c r="V54" s="7">
        <f t="shared" si="33"/>
        <v>0</v>
      </c>
      <c r="W54" s="2"/>
      <c r="X54" s="6">
        <f t="shared" si="34"/>
        <v>48.76</v>
      </c>
      <c r="Y54" s="2"/>
      <c r="Z54" s="7">
        <f t="shared" si="35"/>
        <v>0</v>
      </c>
    </row>
    <row r="55" spans="1:26" s="29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512.48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12.480000000000018</v>
      </c>
      <c r="M55" s="1"/>
      <c r="N55" s="5">
        <f t="shared" ref="N55:N60" si="39">IF(H55=0,0,L55/H55)</f>
        <v>2.4960000000000038E-2</v>
      </c>
      <c r="O55" s="14"/>
      <c r="P55" s="1">
        <f>SUM(OSRRefP22_8x_0)</f>
        <v>2562.4</v>
      </c>
      <c r="Q55" s="1"/>
      <c r="R55" s="5">
        <f t="shared" ref="R55:R60" si="40">IF(P$12=0,0,P55/P$12)</f>
        <v>0</v>
      </c>
      <c r="S55" s="1"/>
      <c r="T55" s="1">
        <f>SUM(OSRRefT22_8x_0)</f>
        <v>2500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62.400000000000091</v>
      </c>
      <c r="Y55" s="1"/>
      <c r="Z55" s="5">
        <f t="shared" ref="Z55:Z60" si="43">IF(T55=0,0,X55/T55)</f>
        <v>2.4960000000000038E-2</v>
      </c>
    </row>
    <row r="56" spans="1:26" s="24" customFormat="1" hidden="1" outlineLevel="2" x14ac:dyDescent="0.25">
      <c r="A56" s="28"/>
      <c r="B56" s="11" t="str">
        <f>CONCATENATE("          ", "6281", " - ", "STORAGE FEE")</f>
        <v xml:space="preserve">          6281 - STORAGE FEE</v>
      </c>
      <c r="C56" s="11"/>
      <c r="D56" s="6">
        <v>512.48</v>
      </c>
      <c r="E56" s="2"/>
      <c r="F56" s="7">
        <f t="shared" si="36"/>
        <v>0</v>
      </c>
      <c r="G56" s="2"/>
      <c r="H56" s="6">
        <v>500</v>
      </c>
      <c r="I56" s="2"/>
      <c r="J56" s="7">
        <f t="shared" si="37"/>
        <v>0</v>
      </c>
      <c r="K56" s="2"/>
      <c r="L56" s="6">
        <f t="shared" si="38"/>
        <v>12.480000000000018</v>
      </c>
      <c r="M56" s="2"/>
      <c r="N56" s="7">
        <f t="shared" si="39"/>
        <v>2.4960000000000038E-2</v>
      </c>
      <c r="O56" s="11"/>
      <c r="P56" s="6">
        <v>2562.4</v>
      </c>
      <c r="Q56" s="2"/>
      <c r="R56" s="7">
        <f t="shared" si="40"/>
        <v>0</v>
      </c>
      <c r="S56" s="2"/>
      <c r="T56" s="6">
        <v>2500</v>
      </c>
      <c r="U56" s="2"/>
      <c r="V56" s="7">
        <f t="shared" si="41"/>
        <v>0</v>
      </c>
      <c r="W56" s="2"/>
      <c r="X56" s="6">
        <f t="shared" si="42"/>
        <v>62.400000000000091</v>
      </c>
      <c r="Y56" s="2"/>
      <c r="Z56" s="7">
        <f t="shared" si="43"/>
        <v>2.4960000000000038E-2</v>
      </c>
    </row>
    <row r="57" spans="1:26" s="29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0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-200</v>
      </c>
      <c r="M57" s="1"/>
      <c r="N57" s="5">
        <f t="shared" si="39"/>
        <v>-1</v>
      </c>
      <c r="O57" s="14"/>
      <c r="P57" s="1">
        <f>SUM(OSRRefP22_9x_0)</f>
        <v>714.04</v>
      </c>
      <c r="Q57" s="1"/>
      <c r="R57" s="5">
        <f t="shared" si="40"/>
        <v>0</v>
      </c>
      <c r="S57" s="1"/>
      <c r="T57" s="1">
        <f>SUM(OSRRefT22_9x_0)</f>
        <v>10584</v>
      </c>
      <c r="U57" s="1"/>
      <c r="V57" s="5">
        <f t="shared" si="41"/>
        <v>0</v>
      </c>
      <c r="W57" s="1"/>
      <c r="X57" s="1">
        <f t="shared" si="42"/>
        <v>-9869.9599999999991</v>
      </c>
      <c r="Y57" s="1"/>
      <c r="Z57" s="5">
        <f t="shared" si="43"/>
        <v>-0.93253590325018887</v>
      </c>
    </row>
    <row r="58" spans="1:26" s="24" customFormat="1" hidden="1" outlineLevel="2" x14ac:dyDescent="0.25">
      <c r="A58" s="28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9584</v>
      </c>
      <c r="U58" s="2"/>
      <c r="V58" s="7">
        <f t="shared" si="41"/>
        <v>0</v>
      </c>
      <c r="W58" s="2"/>
      <c r="X58" s="6">
        <f t="shared" si="42"/>
        <v>-9584</v>
      </c>
      <c r="Y58" s="2"/>
      <c r="Z58" s="7">
        <f t="shared" si="43"/>
        <v>-1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426.66</v>
      </c>
      <c r="Q59" s="2"/>
      <c r="R59" s="7">
        <f t="shared" si="40"/>
        <v>0</v>
      </c>
      <c r="S59" s="2"/>
      <c r="T59" s="6"/>
      <c r="U59" s="2"/>
      <c r="V59" s="7">
        <f t="shared" si="41"/>
        <v>0</v>
      </c>
      <c r="W59" s="2"/>
      <c r="X59" s="6">
        <f t="shared" si="42"/>
        <v>426.66</v>
      </c>
      <c r="Y59" s="2"/>
      <c r="Z59" s="7">
        <f t="shared" si="43"/>
        <v>0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36"/>
        <v>0</v>
      </c>
      <c r="G60" s="2"/>
      <c r="H60" s="6">
        <v>200</v>
      </c>
      <c r="I60" s="2"/>
      <c r="J60" s="7">
        <f t="shared" si="37"/>
        <v>0</v>
      </c>
      <c r="K60" s="2"/>
      <c r="L60" s="6">
        <f t="shared" si="38"/>
        <v>-200</v>
      </c>
      <c r="M60" s="2"/>
      <c r="N60" s="7">
        <f t="shared" si="39"/>
        <v>-1</v>
      </c>
      <c r="O60" s="11"/>
      <c r="P60" s="6">
        <v>287.38</v>
      </c>
      <c r="Q60" s="2"/>
      <c r="R60" s="7">
        <f t="shared" si="40"/>
        <v>0</v>
      </c>
      <c r="S60" s="2"/>
      <c r="T60" s="6">
        <v>1000</v>
      </c>
      <c r="U60" s="2"/>
      <c r="V60" s="7">
        <f t="shared" si="41"/>
        <v>0</v>
      </c>
      <c r="W60" s="2"/>
      <c r="X60" s="6">
        <f t="shared" si="42"/>
        <v>-712.62</v>
      </c>
      <c r="Y60" s="2"/>
      <c r="Z60" s="7">
        <f t="shared" si="43"/>
        <v>-0.71262000000000003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413.65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38.649999999999977</v>
      </c>
      <c r="M61" s="1"/>
      <c r="N61" s="5">
        <f t="shared" ref="N61:N66" si="47">IF(H61=0,0,L61/H61)</f>
        <v>0.10306666666666661</v>
      </c>
      <c r="O61" s="14"/>
      <c r="P61" s="1">
        <f>SUM(OSRRefP22_10x_0)</f>
        <v>2105.9</v>
      </c>
      <c r="Q61" s="1"/>
      <c r="R61" s="5">
        <f t="shared" ref="R61:R66" si="48">IF(P$12=0,0,P61/P$12)</f>
        <v>0</v>
      </c>
      <c r="S61" s="1"/>
      <c r="T61" s="1">
        <f>SUM(OSRRefT22_10x_0)</f>
        <v>1875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230.90000000000009</v>
      </c>
      <c r="Y61" s="1"/>
      <c r="Z61" s="5">
        <f t="shared" ref="Z61:Z66" si="51">IF(T61=0,0,X61/T61)</f>
        <v>0.12314666666666671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413.65</v>
      </c>
      <c r="E62" s="2"/>
      <c r="F62" s="7">
        <f t="shared" si="44"/>
        <v>0</v>
      </c>
      <c r="G62" s="2"/>
      <c r="H62" s="6">
        <v>375</v>
      </c>
      <c r="I62" s="2"/>
      <c r="J62" s="7">
        <f t="shared" si="45"/>
        <v>0</v>
      </c>
      <c r="K62" s="2"/>
      <c r="L62" s="6">
        <f t="shared" si="46"/>
        <v>38.649999999999977</v>
      </c>
      <c r="M62" s="2"/>
      <c r="N62" s="7">
        <f t="shared" si="47"/>
        <v>0.10306666666666661</v>
      </c>
      <c r="O62" s="11"/>
      <c r="P62" s="6">
        <v>2105.9</v>
      </c>
      <c r="Q62" s="2"/>
      <c r="R62" s="7">
        <f t="shared" si="48"/>
        <v>0</v>
      </c>
      <c r="S62" s="2"/>
      <c r="T62" s="6">
        <v>1875</v>
      </c>
      <c r="U62" s="2"/>
      <c r="V62" s="7">
        <f t="shared" si="49"/>
        <v>0</v>
      </c>
      <c r="W62" s="2"/>
      <c r="X62" s="6">
        <f t="shared" si="50"/>
        <v>230.90000000000009</v>
      </c>
      <c r="Y62" s="2"/>
      <c r="Z62" s="7">
        <f t="shared" si="51"/>
        <v>0.12314666666666671</v>
      </c>
    </row>
    <row r="63" spans="1:26" s="29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0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-250</v>
      </c>
      <c r="M63" s="1"/>
      <c r="N63" s="5">
        <f t="shared" si="47"/>
        <v>-1</v>
      </c>
      <c r="O63" s="14"/>
      <c r="P63" s="1">
        <f>SUM(OSRRefP22_11x_0)</f>
        <v>398</v>
      </c>
      <c r="Q63" s="1"/>
      <c r="R63" s="5">
        <f t="shared" si="48"/>
        <v>0</v>
      </c>
      <c r="S63" s="1"/>
      <c r="T63" s="1">
        <f>SUM(OSRRefT22_11x_0)</f>
        <v>1000</v>
      </c>
      <c r="U63" s="1"/>
      <c r="V63" s="5">
        <f t="shared" si="49"/>
        <v>0</v>
      </c>
      <c r="W63" s="1"/>
      <c r="X63" s="1">
        <f t="shared" si="50"/>
        <v>-602</v>
      </c>
      <c r="Y63" s="1"/>
      <c r="Z63" s="5">
        <f t="shared" si="51"/>
        <v>-0.60199999999999998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4"/>
        <v>0</v>
      </c>
      <c r="G64" s="2"/>
      <c r="H64" s="6">
        <v>250</v>
      </c>
      <c r="I64" s="2"/>
      <c r="J64" s="7">
        <f t="shared" si="45"/>
        <v>0</v>
      </c>
      <c r="K64" s="2"/>
      <c r="L64" s="6">
        <f t="shared" si="46"/>
        <v>-250</v>
      </c>
      <c r="M64" s="2"/>
      <c r="N64" s="7">
        <f t="shared" si="47"/>
        <v>-1</v>
      </c>
      <c r="O64" s="11"/>
      <c r="P64" s="6">
        <v>398</v>
      </c>
      <c r="Q64" s="2"/>
      <c r="R64" s="7">
        <f t="shared" si="48"/>
        <v>0</v>
      </c>
      <c r="S64" s="2"/>
      <c r="T64" s="6">
        <v>1000</v>
      </c>
      <c r="U64" s="2"/>
      <c r="V64" s="7">
        <f t="shared" si="49"/>
        <v>0</v>
      </c>
      <c r="W64" s="2"/>
      <c r="X64" s="6">
        <f t="shared" si="50"/>
        <v>-602</v>
      </c>
      <c r="Y64" s="2"/>
      <c r="Z64" s="7">
        <f t="shared" si="51"/>
        <v>-0.60199999999999998</v>
      </c>
    </row>
    <row r="65" spans="1:26" s="29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0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0</v>
      </c>
      <c r="M65" s="1"/>
      <c r="N65" s="5">
        <f t="shared" si="47"/>
        <v>0</v>
      </c>
      <c r="O65" s="14"/>
      <c r="P65" s="1">
        <f>SUM(OSRRefP22_12x_0)</f>
        <v>46.62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46.62</v>
      </c>
      <c r="Y65" s="1"/>
      <c r="Z65" s="5">
        <f t="shared" si="51"/>
        <v>0</v>
      </c>
    </row>
    <row r="66" spans="1:26" s="24" customFormat="1" hidden="1" outlineLevel="2" x14ac:dyDescent="0.25">
      <c r="A66" s="28"/>
      <c r="B66" s="11" t="str">
        <f>CONCATENATE("          ", "6294", " - ", "TRAVEL OPERATIONAL")</f>
        <v xml:space="preserve">          6294 - TRAVEL OPERATIONAL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46.62</v>
      </c>
      <c r="Q66" s="2"/>
      <c r="R66" s="7">
        <f t="shared" si="48"/>
        <v>0</v>
      </c>
      <c r="S66" s="2"/>
      <c r="T66" s="6"/>
      <c r="U66" s="2"/>
      <c r="V66" s="7">
        <f t="shared" si="49"/>
        <v>0</v>
      </c>
      <c r="W66" s="2"/>
      <c r="X66" s="6">
        <f t="shared" si="50"/>
        <v>46.62</v>
      </c>
      <c r="Y66" s="2"/>
      <c r="Z66" s="7">
        <f t="shared" si="51"/>
        <v>0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2">
        <f t="shared" si="52"/>
        <v>0</v>
      </c>
      <c r="G69" s="2"/>
      <c r="H69" s="2"/>
      <c r="I69" s="2"/>
      <c r="J69" s="22">
        <f t="shared" si="53"/>
        <v>0</v>
      </c>
      <c r="K69" s="2"/>
      <c r="L69" s="2">
        <f t="shared" si="54"/>
        <v>0</v>
      </c>
      <c r="M69" s="2"/>
      <c r="N69" s="22">
        <f t="shared" si="55"/>
        <v>0</v>
      </c>
      <c r="O69" s="11"/>
      <c r="P69" s="2">
        <f t="shared" ref="P69:P71" si="61">0</f>
        <v>0</v>
      </c>
      <c r="Q69" s="2"/>
      <c r="R69" s="22">
        <f t="shared" si="56"/>
        <v>0</v>
      </c>
      <c r="S69" s="2"/>
      <c r="T69" s="2">
        <v>0</v>
      </c>
      <c r="U69" s="2"/>
      <c r="V69" s="22">
        <f t="shared" si="57"/>
        <v>0</v>
      </c>
      <c r="W69" s="2"/>
      <c r="X69" s="2">
        <f t="shared" si="58"/>
        <v>0</v>
      </c>
      <c r="Y69" s="2"/>
      <c r="Z69" s="22">
        <f t="shared" si="59"/>
        <v>0</v>
      </c>
    </row>
    <row r="70" spans="1:26" s="24" customFormat="1" hidden="1" outlineLevel="1" x14ac:dyDescent="0.2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si="61"/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2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3</v>
      </c>
      <c r="C73" s="25"/>
      <c r="D73" s="21">
        <f>+D17-D19+D68</f>
        <v>-34438.06</v>
      </c>
      <c r="E73" s="13"/>
      <c r="F73" s="20">
        <f>IF(D$12=0,0,D73/D$12)</f>
        <v>0</v>
      </c>
      <c r="G73" s="13"/>
      <c r="H73" s="21">
        <f>+H17-H19+H68</f>
        <v>-35506.791615384667</v>
      </c>
      <c r="I73" s="13"/>
      <c r="J73" s="20">
        <f>IF(H$12=0,0,H73/H$12)</f>
        <v>0</v>
      </c>
      <c r="K73" s="16"/>
      <c r="L73" s="21">
        <f>+D73-H73</f>
        <v>1068.7316153846696</v>
      </c>
      <c r="M73" s="16"/>
      <c r="N73" s="20">
        <f>IF(H73=0,0,L73/H73)</f>
        <v>-3.0099357524648918E-2</v>
      </c>
      <c r="O73" s="26"/>
      <c r="P73" s="21">
        <f>+P17-P19+P68</f>
        <v>-190594.6</v>
      </c>
      <c r="Q73" s="13"/>
      <c r="R73" s="20">
        <f>IF(P$12=0,0,P73/P$12)</f>
        <v>0</v>
      </c>
      <c r="S73" s="13"/>
      <c r="T73" s="21">
        <f>+T17-T19+T68</f>
        <v>-197411.18388461557</v>
      </c>
      <c r="U73" s="13"/>
      <c r="V73" s="20">
        <f>IF(T$12=0,0,T73/T$12)</f>
        <v>0</v>
      </c>
      <c r="W73" s="16"/>
      <c r="X73" s="21">
        <f>+P73-T73</f>
        <v>6816.5838846155675</v>
      </c>
      <c r="Y73" s="16"/>
      <c r="Z73" s="20">
        <f>IF(T73=0,0,X73/T73)</f>
        <v>-3.4529876932402052E-2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4</v>
      </c>
      <c r="C77" s="25"/>
      <c r="D77" s="31">
        <f>+D73-D75</f>
        <v>-34438.06</v>
      </c>
      <c r="E77" s="13"/>
      <c r="F77" s="34">
        <f>IF(D$12=0,0,D77/D$12)</f>
        <v>0</v>
      </c>
      <c r="G77" s="13"/>
      <c r="H77" s="31">
        <f>+H73-H75</f>
        <v>-35506.791615384667</v>
      </c>
      <c r="I77" s="13"/>
      <c r="J77" s="34">
        <f>IF(H$12=0,0,H77/H$12)</f>
        <v>0</v>
      </c>
      <c r="K77" s="16"/>
      <c r="L77" s="31">
        <f>D77-H77</f>
        <v>1068.7316153846696</v>
      </c>
      <c r="M77" s="16"/>
      <c r="N77" s="34">
        <f>IF(H77=0,0,L77/H77)</f>
        <v>-3.0099357524648918E-2</v>
      </c>
      <c r="O77" s="26"/>
      <c r="P77" s="31">
        <f>+P73-P75</f>
        <v>-190594.6</v>
      </c>
      <c r="Q77" s="13"/>
      <c r="R77" s="34">
        <f>IF(P$12=0,0,P77/P$12)</f>
        <v>0</v>
      </c>
      <c r="S77" s="13"/>
      <c r="T77" s="31">
        <f>+T73-T75</f>
        <v>-197411.18388461557</v>
      </c>
      <c r="U77" s="13"/>
      <c r="V77" s="34">
        <f>IF(T$12=0,0,T77/T$12)</f>
        <v>0</v>
      </c>
      <c r="W77" s="16"/>
      <c r="X77" s="31">
        <f>P77-T77</f>
        <v>6816.5838846155675</v>
      </c>
      <c r="Y77" s="16"/>
      <c r="Z77" s="34">
        <f>IF(T77=0,0,X77/T77)</f>
        <v>-3.4529876932402052E-2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5</v>
      </c>
      <c r="C80" s="25"/>
      <c r="D80" s="33">
        <f>SUM(D77:D79)</f>
        <v>-34438.06</v>
      </c>
      <c r="E80" s="13"/>
      <c r="F80" s="30">
        <f>IF(D$12=0,0,D80/D$12)</f>
        <v>0</v>
      </c>
      <c r="G80" s="13"/>
      <c r="H80" s="33">
        <f>SUM(H77:H79)</f>
        <v>-35506.791615384667</v>
      </c>
      <c r="I80" s="13"/>
      <c r="J80" s="30">
        <f>IF(H$12=0,0,H80/H$12)</f>
        <v>0</v>
      </c>
      <c r="K80" s="16"/>
      <c r="L80" s="33">
        <f>+D80-H80</f>
        <v>1068.7316153846696</v>
      </c>
      <c r="M80" s="16"/>
      <c r="N80" s="30">
        <f>IF(H80=0,0,L80/H80)</f>
        <v>-3.0099357524648918E-2</v>
      </c>
      <c r="O80" s="26"/>
      <c r="P80" s="33">
        <f>SUM(P77:P79)</f>
        <v>-190594.6</v>
      </c>
      <c r="Q80" s="13"/>
      <c r="R80" s="30">
        <f>IF(P$12=0,0,P80/P$12)</f>
        <v>0</v>
      </c>
      <c r="S80" s="13"/>
      <c r="T80" s="33">
        <f>SUM(T77:T79)</f>
        <v>-197411.18388461557</v>
      </c>
      <c r="U80" s="13"/>
      <c r="V80" s="30">
        <f>IF(T$12=0,0,T80/T$12)</f>
        <v>0</v>
      </c>
      <c r="W80" s="16"/>
      <c r="X80" s="33">
        <f>+P80-T80</f>
        <v>6816.5838846155675</v>
      </c>
      <c r="Y80" s="16"/>
      <c r="Z80" s="30">
        <f>IF(T80=0,0,X80/T80)</f>
        <v>-3.4529876932402052E-2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5">
        <v>44174.679338692127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7" t="s">
        <v>314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3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41689.03</v>
      </c>
      <c r="E18" s="19"/>
      <c r="F18" s="35">
        <f t="shared" ref="F18:F29" si="0">IF(D$12=0,0,D18/D$12)</f>
        <v>0</v>
      </c>
      <c r="G18" s="19"/>
      <c r="H18" s="19">
        <f>SUM(OSRRefH22x_0)</f>
        <v>49905.525784615391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-8216.495784615392</v>
      </c>
      <c r="M18" s="4"/>
      <c r="N18" s="35">
        <f t="shared" ref="N18:N29" si="3">IF(H18=0,0,L18/H18)</f>
        <v>-0.16464100228252337</v>
      </c>
      <c r="O18" s="10"/>
      <c r="P18" s="19">
        <f>SUM(OSRRefP22x_0)</f>
        <v>230388.40999999992</v>
      </c>
      <c r="Q18" s="19"/>
      <c r="R18" s="35">
        <f t="shared" ref="R18:R29" si="4">IF(P$12=0,0,P18/P$12)</f>
        <v>0</v>
      </c>
      <c r="S18" s="19"/>
      <c r="T18" s="19">
        <f>SUM(OSRRefT22x_0)</f>
        <v>267244.89181538473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-36856.481815384817</v>
      </c>
      <c r="Y18" s="4"/>
      <c r="Z18" s="35">
        <f t="shared" ref="Z18:Z29" si="7">IF(T18=0,0,X18/T18)</f>
        <v>-0.13791276444993986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12995.090000000002</v>
      </c>
      <c r="E19" s="1"/>
      <c r="F19" s="5">
        <f t="shared" si="0"/>
        <v>0</v>
      </c>
      <c r="G19" s="1"/>
      <c r="H19" s="1">
        <f>SUM(OSRRefH22_0x_0)</f>
        <v>10515.895015384624</v>
      </c>
      <c r="I19" s="1"/>
      <c r="J19" s="5">
        <f t="shared" si="1"/>
        <v>0</v>
      </c>
      <c r="K19" s="1"/>
      <c r="L19" s="1">
        <f t="shared" si="2"/>
        <v>2479.1949846153784</v>
      </c>
      <c r="M19" s="1"/>
      <c r="N19" s="5">
        <f t="shared" si="3"/>
        <v>0.23575691664745102</v>
      </c>
      <c r="O19" s="14"/>
      <c r="P19" s="1">
        <f>SUM(OSRRefP22_0x_0)</f>
        <v>64996.34</v>
      </c>
      <c r="Q19" s="1"/>
      <c r="R19" s="5">
        <f t="shared" si="4"/>
        <v>0</v>
      </c>
      <c r="S19" s="1"/>
      <c r="T19" s="1">
        <f>SUM(OSRRefT22_0x_0)</f>
        <v>56584.922584615408</v>
      </c>
      <c r="U19" s="1"/>
      <c r="V19" s="5">
        <f t="shared" si="5"/>
        <v>0</v>
      </c>
      <c r="W19" s="1"/>
      <c r="X19" s="1">
        <f t="shared" si="6"/>
        <v>8411.4174153845888</v>
      </c>
      <c r="Y19" s="1"/>
      <c r="Z19" s="5">
        <f t="shared" si="7"/>
        <v>0.14865121363038725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1880.99</v>
      </c>
      <c r="E20" s="2"/>
      <c r="F20" s="7">
        <f t="shared" si="0"/>
        <v>0</v>
      </c>
      <c r="G20" s="2"/>
      <c r="H20" s="6">
        <v>1518.5906769230799</v>
      </c>
      <c r="I20" s="2"/>
      <c r="J20" s="7">
        <f t="shared" si="1"/>
        <v>0</v>
      </c>
      <c r="K20" s="2"/>
      <c r="L20" s="6">
        <f t="shared" si="2"/>
        <v>362.39932307692015</v>
      </c>
      <c r="M20" s="2"/>
      <c r="N20" s="7">
        <f t="shared" si="3"/>
        <v>0.2386418727469091</v>
      </c>
      <c r="O20" s="11"/>
      <c r="P20" s="6">
        <v>11677.25</v>
      </c>
      <c r="Q20" s="2"/>
      <c r="R20" s="7">
        <f t="shared" si="4"/>
        <v>0</v>
      </c>
      <c r="S20" s="2"/>
      <c r="T20" s="6">
        <v>8352.2487230769402</v>
      </c>
      <c r="U20" s="2"/>
      <c r="V20" s="7">
        <f t="shared" si="5"/>
        <v>0</v>
      </c>
      <c r="W20" s="2"/>
      <c r="X20" s="6">
        <f t="shared" si="6"/>
        <v>3325.0012769230598</v>
      </c>
      <c r="Y20" s="2"/>
      <c r="Z20" s="7">
        <f t="shared" si="7"/>
        <v>0.39809653509673509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160.16999999999999</v>
      </c>
      <c r="E21" s="2"/>
      <c r="F21" s="7">
        <f t="shared" si="0"/>
        <v>0</v>
      </c>
      <c r="G21" s="2"/>
      <c r="H21" s="6">
        <v>91.129753846153889</v>
      </c>
      <c r="I21" s="2"/>
      <c r="J21" s="7">
        <f t="shared" si="1"/>
        <v>0</v>
      </c>
      <c r="K21" s="2"/>
      <c r="L21" s="6">
        <f t="shared" si="2"/>
        <v>69.040246153846098</v>
      </c>
      <c r="M21" s="2"/>
      <c r="N21" s="7">
        <f t="shared" si="3"/>
        <v>0.75760378186031863</v>
      </c>
      <c r="O21" s="11"/>
      <c r="P21" s="6">
        <v>500.61</v>
      </c>
      <c r="Q21" s="2"/>
      <c r="R21" s="7">
        <f t="shared" si="4"/>
        <v>0</v>
      </c>
      <c r="S21" s="2"/>
      <c r="T21" s="6">
        <v>501.21364615384567</v>
      </c>
      <c r="U21" s="2"/>
      <c r="V21" s="7">
        <f t="shared" si="5"/>
        <v>0</v>
      </c>
      <c r="W21" s="2"/>
      <c r="X21" s="6">
        <f t="shared" si="6"/>
        <v>-0.60364615384565923</v>
      </c>
      <c r="Y21" s="2"/>
      <c r="Z21" s="7">
        <f t="shared" si="7"/>
        <v>-1.2043689521980259E-3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5635.3846153846198</v>
      </c>
      <c r="I22" s="2"/>
      <c r="J22" s="7">
        <f t="shared" si="1"/>
        <v>0</v>
      </c>
      <c r="K22" s="2"/>
      <c r="L22" s="6">
        <f t="shared" si="2"/>
        <v>456.28538461538028</v>
      </c>
      <c r="M22" s="2"/>
      <c r="N22" s="7">
        <f t="shared" si="3"/>
        <v>8.096792246792163E-2</v>
      </c>
      <c r="O22" s="11"/>
      <c r="P22" s="6">
        <v>30458.350000000002</v>
      </c>
      <c r="Q22" s="2"/>
      <c r="R22" s="7">
        <f t="shared" si="4"/>
        <v>0</v>
      </c>
      <c r="S22" s="2"/>
      <c r="T22" s="6">
        <v>30004.615384615401</v>
      </c>
      <c r="U22" s="2"/>
      <c r="V22" s="7">
        <f t="shared" si="5"/>
        <v>0</v>
      </c>
      <c r="W22" s="2"/>
      <c r="X22" s="6">
        <f t="shared" si="6"/>
        <v>453.73461538460106</v>
      </c>
      <c r="Y22" s="2"/>
      <c r="Z22" s="7">
        <f t="shared" si="7"/>
        <v>1.5122160693226198E-2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126.19</v>
      </c>
      <c r="E23" s="2"/>
      <c r="F23" s="7">
        <f t="shared" si="0"/>
        <v>0</v>
      </c>
      <c r="G23" s="2"/>
      <c r="H23" s="6">
        <v>71.799199999999999</v>
      </c>
      <c r="I23" s="2"/>
      <c r="J23" s="7">
        <f t="shared" si="1"/>
        <v>0</v>
      </c>
      <c r="K23" s="2"/>
      <c r="L23" s="6">
        <f t="shared" si="2"/>
        <v>54.390799999999999</v>
      </c>
      <c r="M23" s="2"/>
      <c r="N23" s="7">
        <f t="shared" si="3"/>
        <v>0.75754047398856816</v>
      </c>
      <c r="O23" s="11"/>
      <c r="P23" s="6">
        <v>394.42</v>
      </c>
      <c r="Q23" s="2"/>
      <c r="R23" s="7">
        <f t="shared" si="4"/>
        <v>0</v>
      </c>
      <c r="S23" s="2"/>
      <c r="T23" s="6">
        <v>394.8956</v>
      </c>
      <c r="U23" s="2"/>
      <c r="V23" s="7">
        <f t="shared" si="5"/>
        <v>0</v>
      </c>
      <c r="W23" s="2"/>
      <c r="X23" s="6">
        <f t="shared" si="6"/>
        <v>-0.47559999999998581</v>
      </c>
      <c r="Y23" s="2"/>
      <c r="Z23" s="7">
        <f t="shared" si="7"/>
        <v>-1.2043689521989756E-3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2368.52</v>
      </c>
      <c r="E24" s="2"/>
      <c r="F24" s="7">
        <f t="shared" si="0"/>
        <v>0</v>
      </c>
      <c r="G24" s="2"/>
      <c r="H24" s="6">
        <v>853.38461538461502</v>
      </c>
      <c r="I24" s="2"/>
      <c r="J24" s="7">
        <f t="shared" si="1"/>
        <v>0</v>
      </c>
      <c r="K24" s="2"/>
      <c r="L24" s="6">
        <f t="shared" si="2"/>
        <v>1515.135384615385</v>
      </c>
      <c r="M24" s="2"/>
      <c r="N24" s="7">
        <f t="shared" si="3"/>
        <v>1.7754425815756276</v>
      </c>
      <c r="O24" s="11"/>
      <c r="P24" s="6">
        <v>7280.18</v>
      </c>
      <c r="Q24" s="2"/>
      <c r="R24" s="7">
        <f t="shared" si="4"/>
        <v>0</v>
      </c>
      <c r="S24" s="2"/>
      <c r="T24" s="6">
        <v>4693.6153846153857</v>
      </c>
      <c r="U24" s="2"/>
      <c r="V24" s="7">
        <f t="shared" si="5"/>
        <v>0</v>
      </c>
      <c r="W24" s="2"/>
      <c r="X24" s="6">
        <f t="shared" si="6"/>
        <v>2586.5646153846146</v>
      </c>
      <c r="Y24" s="2"/>
      <c r="Z24" s="7">
        <f t="shared" si="7"/>
        <v>0.55108150187652594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585.52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585.52</v>
      </c>
      <c r="M26" s="2"/>
      <c r="N26" s="7">
        <f t="shared" si="3"/>
        <v>0</v>
      </c>
      <c r="O26" s="11"/>
      <c r="P26" s="6">
        <v>3255.16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3255.16</v>
      </c>
      <c r="Y26" s="2"/>
      <c r="Z26" s="7">
        <f t="shared" si="7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667.3</v>
      </c>
      <c r="E27" s="2"/>
      <c r="F27" s="7">
        <f t="shared" si="0"/>
        <v>0</v>
      </c>
      <c r="G27" s="2"/>
      <c r="H27" s="6">
        <v>992.15384615384596</v>
      </c>
      <c r="I27" s="2"/>
      <c r="J27" s="7">
        <f t="shared" si="1"/>
        <v>0</v>
      </c>
      <c r="K27" s="2"/>
      <c r="L27" s="6">
        <f t="shared" si="2"/>
        <v>-324.85384615384601</v>
      </c>
      <c r="M27" s="2"/>
      <c r="N27" s="7">
        <f t="shared" si="3"/>
        <v>-0.32742285625678391</v>
      </c>
      <c r="O27" s="11"/>
      <c r="P27" s="6">
        <v>6095.88</v>
      </c>
      <c r="Q27" s="2"/>
      <c r="R27" s="7">
        <f t="shared" si="4"/>
        <v>0</v>
      </c>
      <c r="S27" s="2"/>
      <c r="T27" s="6">
        <v>5456.8461538461579</v>
      </c>
      <c r="U27" s="2"/>
      <c r="V27" s="7">
        <f t="shared" si="5"/>
        <v>0</v>
      </c>
      <c r="W27" s="2"/>
      <c r="X27" s="6">
        <f t="shared" si="6"/>
        <v>639.03384615384221</v>
      </c>
      <c r="Y27" s="2"/>
      <c r="Z27" s="7">
        <f t="shared" si="7"/>
        <v>0.11710681007626189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828.45230769230795</v>
      </c>
      <c r="I28" s="2"/>
      <c r="J28" s="7">
        <f t="shared" si="1"/>
        <v>0</v>
      </c>
      <c r="K28" s="2"/>
      <c r="L28" s="6">
        <f t="shared" si="2"/>
        <v>79.66769230769205</v>
      </c>
      <c r="M28" s="2"/>
      <c r="N28" s="7">
        <f t="shared" si="3"/>
        <v>9.6164488369415102E-2</v>
      </c>
      <c r="O28" s="11"/>
      <c r="P28" s="6">
        <v>4994.66</v>
      </c>
      <c r="Q28" s="2"/>
      <c r="R28" s="7">
        <f t="shared" si="4"/>
        <v>0</v>
      </c>
      <c r="S28" s="2"/>
      <c r="T28" s="6">
        <v>4556.4876923076836</v>
      </c>
      <c r="U28" s="2"/>
      <c r="V28" s="7">
        <f t="shared" si="5"/>
        <v>0</v>
      </c>
      <c r="W28" s="2"/>
      <c r="X28" s="6">
        <f t="shared" si="6"/>
        <v>438.17230769231628</v>
      </c>
      <c r="Y28" s="2"/>
      <c r="Z28" s="7">
        <f t="shared" si="7"/>
        <v>9.6164488369417517E-2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206.61</v>
      </c>
      <c r="E29" s="2"/>
      <c r="F29" s="7">
        <f t="shared" si="0"/>
        <v>0</v>
      </c>
      <c r="G29" s="2"/>
      <c r="H29" s="6">
        <v>525</v>
      </c>
      <c r="I29" s="2"/>
      <c r="J29" s="7">
        <f t="shared" si="1"/>
        <v>0</v>
      </c>
      <c r="K29" s="2"/>
      <c r="L29" s="6">
        <f t="shared" si="2"/>
        <v>-318.39</v>
      </c>
      <c r="M29" s="2"/>
      <c r="N29" s="7">
        <f t="shared" si="3"/>
        <v>-0.60645714285714281</v>
      </c>
      <c r="O29" s="11"/>
      <c r="P29" s="6">
        <v>339.83</v>
      </c>
      <c r="Q29" s="2"/>
      <c r="R29" s="7">
        <f t="shared" si="4"/>
        <v>0</v>
      </c>
      <c r="S29" s="2"/>
      <c r="T29" s="6">
        <v>2625</v>
      </c>
      <c r="U29" s="2"/>
      <c r="V29" s="7">
        <f t="shared" si="5"/>
        <v>0</v>
      </c>
      <c r="W29" s="2"/>
      <c r="X29" s="6">
        <f t="shared" si="6"/>
        <v>-2285.17</v>
      </c>
      <c r="Y29" s="2"/>
      <c r="Z29" s="7">
        <f t="shared" si="7"/>
        <v>-0.87054095238095242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23276.47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-2751.1607692307662</v>
      </c>
      <c r="M30" s="1"/>
      <c r="N30" s="5">
        <f t="shared" ref="N30:N40" si="11">IF(H30=0,0,L30/H30)</f>
        <v>-0.10570154439424127</v>
      </c>
      <c r="O30" s="14"/>
      <c r="P30" s="1">
        <f>SUM(OSRRefP22_1x_0)</f>
        <v>135679.18</v>
      </c>
      <c r="Q30" s="1"/>
      <c r="R30" s="5">
        <f t="shared" ref="R30:R40" si="12">IF(P$12=0,0,P30/P$12)</f>
        <v>0</v>
      </c>
      <c r="S30" s="1"/>
      <c r="T30" s="1">
        <f>SUM(OSRRefT22_1x_0)</f>
        <v>143151.96923076932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-7472.7892307693255</v>
      </c>
      <c r="Y30" s="1"/>
      <c r="Z30" s="5">
        <f t="shared" ref="Z30:Z40" si="15">IF(T30=0,0,X30/T30)</f>
        <v>-5.2201791361477907E-2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>
        <v>9894.68</v>
      </c>
      <c r="E31" s="2"/>
      <c r="F31" s="7">
        <f t="shared" si="8"/>
        <v>0</v>
      </c>
      <c r="G31" s="2"/>
      <c r="H31" s="6">
        <v>9129.2307692307695</v>
      </c>
      <c r="I31" s="2"/>
      <c r="J31" s="7">
        <f t="shared" si="9"/>
        <v>0</v>
      </c>
      <c r="K31" s="2"/>
      <c r="L31" s="6">
        <f t="shared" si="10"/>
        <v>765.44923076923078</v>
      </c>
      <c r="M31" s="2"/>
      <c r="N31" s="7">
        <f t="shared" si="11"/>
        <v>8.3845972362655882E-2</v>
      </c>
      <c r="O31" s="11"/>
      <c r="P31" s="6">
        <v>50957.619999999995</v>
      </c>
      <c r="Q31" s="2"/>
      <c r="R31" s="7">
        <f t="shared" si="12"/>
        <v>0</v>
      </c>
      <c r="S31" s="2"/>
      <c r="T31" s="6">
        <v>50210.769230769314</v>
      </c>
      <c r="U31" s="2"/>
      <c r="V31" s="7">
        <f t="shared" si="13"/>
        <v>0</v>
      </c>
      <c r="W31" s="2"/>
      <c r="X31" s="6">
        <f t="shared" si="14"/>
        <v>746.85076923068118</v>
      </c>
      <c r="Y31" s="2"/>
      <c r="Z31" s="7">
        <f t="shared" si="15"/>
        <v>1.4874314428407696E-2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8723.0300000000007</v>
      </c>
      <c r="E34" s="2"/>
      <c r="F34" s="7">
        <f t="shared" si="8"/>
        <v>0</v>
      </c>
      <c r="G34" s="2"/>
      <c r="H34" s="6">
        <v>9126.4</v>
      </c>
      <c r="I34" s="2"/>
      <c r="J34" s="7">
        <f t="shared" si="9"/>
        <v>0</v>
      </c>
      <c r="K34" s="2"/>
      <c r="L34" s="6">
        <f t="shared" si="10"/>
        <v>-403.36999999999898</v>
      </c>
      <c r="M34" s="2"/>
      <c r="N34" s="7">
        <f t="shared" si="11"/>
        <v>-4.4198150420757254E-2</v>
      </c>
      <c r="O34" s="11"/>
      <c r="P34" s="6">
        <v>53672.79</v>
      </c>
      <c r="Q34" s="2"/>
      <c r="R34" s="7">
        <f t="shared" si="12"/>
        <v>0</v>
      </c>
      <c r="S34" s="2"/>
      <c r="T34" s="6">
        <v>50195.199999999997</v>
      </c>
      <c r="U34" s="2"/>
      <c r="V34" s="7">
        <f t="shared" si="13"/>
        <v>0</v>
      </c>
      <c r="W34" s="2"/>
      <c r="X34" s="6">
        <f t="shared" si="14"/>
        <v>3477.5900000000038</v>
      </c>
      <c r="Y34" s="2"/>
      <c r="Z34" s="7">
        <f t="shared" si="15"/>
        <v>6.9281325704449906E-2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>
        <v>4658.76</v>
      </c>
      <c r="E35" s="2"/>
      <c r="F35" s="7">
        <f t="shared" si="8"/>
        <v>0</v>
      </c>
      <c r="G35" s="2"/>
      <c r="H35" s="6">
        <v>7772</v>
      </c>
      <c r="I35" s="2"/>
      <c r="J35" s="7">
        <f t="shared" si="9"/>
        <v>0</v>
      </c>
      <c r="K35" s="2"/>
      <c r="L35" s="6">
        <f t="shared" si="10"/>
        <v>-3113.24</v>
      </c>
      <c r="M35" s="2"/>
      <c r="N35" s="7">
        <f t="shared" si="11"/>
        <v>-0.40057128152341737</v>
      </c>
      <c r="O35" s="11"/>
      <c r="P35" s="6">
        <v>31048.769999999997</v>
      </c>
      <c r="Q35" s="2"/>
      <c r="R35" s="7">
        <f t="shared" si="12"/>
        <v>0</v>
      </c>
      <c r="S35" s="2"/>
      <c r="T35" s="6">
        <v>42746</v>
      </c>
      <c r="U35" s="2"/>
      <c r="V35" s="7">
        <f t="shared" si="13"/>
        <v>0</v>
      </c>
      <c r="W35" s="2"/>
      <c r="X35" s="6">
        <f t="shared" si="14"/>
        <v>-11697.230000000003</v>
      </c>
      <c r="Y35" s="2"/>
      <c r="Z35" s="7">
        <f t="shared" si="15"/>
        <v>-0.27364501941702157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1250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-1250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250</v>
      </c>
      <c r="I42" s="2"/>
      <c r="J42" s="7">
        <f t="shared" si="17"/>
        <v>0</v>
      </c>
      <c r="K42" s="2"/>
      <c r="L42" s="6">
        <f t="shared" si="18"/>
        <v>-250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1250</v>
      </c>
      <c r="U42" s="2"/>
      <c r="V42" s="7">
        <f t="shared" si="21"/>
        <v>0</v>
      </c>
      <c r="W42" s="2"/>
      <c r="X42" s="6">
        <f t="shared" si="22"/>
        <v>-1250</v>
      </c>
      <c r="Y42" s="2"/>
      <c r="Z42" s="7">
        <f t="shared" si="23"/>
        <v>-1</v>
      </c>
    </row>
    <row r="43" spans="1:26" s="29" customFormat="1" outlineLevel="1" collapsed="1" x14ac:dyDescent="0.25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81.56</v>
      </c>
      <c r="Y43" s="1"/>
      <c r="Z43" s="5">
        <f t="shared" si="23"/>
        <v>0</v>
      </c>
    </row>
    <row r="44" spans="1:26" s="24" customFormat="1" hidden="1" outlineLevel="2" x14ac:dyDescent="0.25">
      <c r="A44" s="28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0</v>
      </c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81.56</v>
      </c>
      <c r="Q44" s="2"/>
      <c r="R44" s="7">
        <f t="shared" si="20"/>
        <v>0</v>
      </c>
      <c r="S44" s="2"/>
      <c r="T44" s="6">
        <v>0</v>
      </c>
      <c r="U44" s="2"/>
      <c r="V44" s="7">
        <f t="shared" si="21"/>
        <v>0</v>
      </c>
      <c r="W44" s="2"/>
      <c r="X44" s="6">
        <f t="shared" si="22"/>
        <v>81.56</v>
      </c>
      <c r="Y44" s="2"/>
      <c r="Z44" s="7">
        <f t="shared" si="23"/>
        <v>0</v>
      </c>
    </row>
    <row r="45" spans="1:26" s="29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328</v>
      </c>
      <c r="U45" s="1"/>
      <c r="V45" s="5">
        <f t="shared" si="21"/>
        <v>0</v>
      </c>
      <c r="W45" s="1"/>
      <c r="X45" s="1">
        <f t="shared" si="22"/>
        <v>-328</v>
      </c>
      <c r="Y45" s="1"/>
      <c r="Z45" s="5">
        <f t="shared" si="23"/>
        <v>-1</v>
      </c>
    </row>
    <row r="46" spans="1:26" s="24" customFormat="1" hidden="1" outlineLevel="2" x14ac:dyDescent="0.25">
      <c r="A46" s="28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82</v>
      </c>
      <c r="I46" s="2"/>
      <c r="J46" s="7">
        <f t="shared" si="17"/>
        <v>0</v>
      </c>
      <c r="K46" s="2"/>
      <c r="L46" s="6">
        <f t="shared" si="18"/>
        <v>-82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328</v>
      </c>
      <c r="U46" s="2"/>
      <c r="V46" s="7">
        <f t="shared" si="21"/>
        <v>0</v>
      </c>
      <c r="W46" s="2"/>
      <c r="X46" s="6">
        <f t="shared" si="22"/>
        <v>-328</v>
      </c>
      <c r="Y46" s="2"/>
      <c r="Z46" s="7">
        <f t="shared" si="23"/>
        <v>-1</v>
      </c>
    </row>
    <row r="47" spans="1:26" s="29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2.5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-80.5</v>
      </c>
      <c r="M47" s="1"/>
      <c r="N47" s="5">
        <f t="shared" si="19"/>
        <v>-0.96987951807228912</v>
      </c>
      <c r="O47" s="14"/>
      <c r="P47" s="1">
        <f>SUM(OSRRefP22_5x_0)</f>
        <v>76.05</v>
      </c>
      <c r="Q47" s="1"/>
      <c r="R47" s="5">
        <f t="shared" si="20"/>
        <v>0</v>
      </c>
      <c r="S47" s="1"/>
      <c r="T47" s="1">
        <f>SUM(OSRRefT22_5x_0)</f>
        <v>415</v>
      </c>
      <c r="U47" s="1"/>
      <c r="V47" s="5">
        <f t="shared" si="21"/>
        <v>0</v>
      </c>
      <c r="W47" s="1"/>
      <c r="X47" s="1">
        <f t="shared" si="22"/>
        <v>-338.95</v>
      </c>
      <c r="Y47" s="1"/>
      <c r="Z47" s="5">
        <f t="shared" si="23"/>
        <v>-0.81674698795180722</v>
      </c>
    </row>
    <row r="48" spans="1:26" s="24" customFormat="1" hidden="1" outlineLevel="2" x14ac:dyDescent="0.25">
      <c r="A48" s="28"/>
      <c r="B48" s="11" t="str">
        <f>CONCATENATE("          ", "6307", " - ", "POSTAGE")</f>
        <v xml:space="preserve">          6307 - POSTAGE</v>
      </c>
      <c r="C48" s="11"/>
      <c r="D48" s="6">
        <v>2.5</v>
      </c>
      <c r="E48" s="2"/>
      <c r="F48" s="7">
        <f t="shared" si="16"/>
        <v>0</v>
      </c>
      <c r="G48" s="2"/>
      <c r="H48" s="6">
        <v>83</v>
      </c>
      <c r="I48" s="2"/>
      <c r="J48" s="7">
        <f t="shared" si="17"/>
        <v>0</v>
      </c>
      <c r="K48" s="2"/>
      <c r="L48" s="6">
        <f t="shared" si="18"/>
        <v>-80.5</v>
      </c>
      <c r="M48" s="2"/>
      <c r="N48" s="7">
        <f t="shared" si="19"/>
        <v>-0.96987951807228912</v>
      </c>
      <c r="O48" s="11"/>
      <c r="P48" s="6">
        <v>76.05</v>
      </c>
      <c r="Q48" s="2"/>
      <c r="R48" s="7">
        <f t="shared" si="20"/>
        <v>0</v>
      </c>
      <c r="S48" s="2"/>
      <c r="T48" s="6">
        <v>415</v>
      </c>
      <c r="U48" s="2"/>
      <c r="V48" s="7">
        <f t="shared" si="21"/>
        <v>0</v>
      </c>
      <c r="W48" s="2"/>
      <c r="X48" s="6">
        <f t="shared" si="22"/>
        <v>-338.95</v>
      </c>
      <c r="Y48" s="2"/>
      <c r="Z48" s="7">
        <f t="shared" si="23"/>
        <v>-0.81674698795180722</v>
      </c>
    </row>
    <row r="49" spans="1:26" s="29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-333</v>
      </c>
      <c r="M49" s="1"/>
      <c r="N49" s="5">
        <f t="shared" si="19"/>
        <v>-1</v>
      </c>
      <c r="O49" s="14"/>
      <c r="P49" s="1">
        <f>SUM(OSRRefP22_6x_0)</f>
        <v>166.54</v>
      </c>
      <c r="Q49" s="1"/>
      <c r="R49" s="5">
        <f t="shared" si="20"/>
        <v>0</v>
      </c>
      <c r="S49" s="1"/>
      <c r="T49" s="1">
        <f>SUM(OSRRefT22_6x_0)</f>
        <v>1665</v>
      </c>
      <c r="U49" s="1"/>
      <c r="V49" s="5">
        <f t="shared" si="21"/>
        <v>0</v>
      </c>
      <c r="W49" s="1"/>
      <c r="X49" s="1">
        <f t="shared" si="22"/>
        <v>-1498.46</v>
      </c>
      <c r="Y49" s="1"/>
      <c r="Z49" s="5">
        <f t="shared" si="23"/>
        <v>-0.89997597597597601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16"/>
        <v>0</v>
      </c>
      <c r="G50" s="2"/>
      <c r="H50" s="6">
        <v>333</v>
      </c>
      <c r="I50" s="2"/>
      <c r="J50" s="7">
        <f t="shared" si="17"/>
        <v>0</v>
      </c>
      <c r="K50" s="2"/>
      <c r="L50" s="6">
        <f t="shared" si="18"/>
        <v>-333</v>
      </c>
      <c r="M50" s="2"/>
      <c r="N50" s="7">
        <f t="shared" si="19"/>
        <v>-1</v>
      </c>
      <c r="O50" s="11"/>
      <c r="P50" s="6">
        <v>166.54</v>
      </c>
      <c r="Q50" s="2"/>
      <c r="R50" s="7">
        <f t="shared" si="20"/>
        <v>0</v>
      </c>
      <c r="S50" s="2"/>
      <c r="T50" s="6">
        <v>1665</v>
      </c>
      <c r="U50" s="2"/>
      <c r="V50" s="7">
        <f t="shared" si="21"/>
        <v>0</v>
      </c>
      <c r="W50" s="2"/>
      <c r="X50" s="6">
        <f t="shared" si="22"/>
        <v>-1498.46</v>
      </c>
      <c r="Y50" s="2"/>
      <c r="Z50" s="7">
        <f t="shared" si="23"/>
        <v>-0.89997597597597601</v>
      </c>
    </row>
    <row r="51" spans="1:26" s="29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327.35000000000002</v>
      </c>
      <c r="Q51" s="1"/>
      <c r="R51" s="5">
        <f t="shared" si="20"/>
        <v>0</v>
      </c>
      <c r="S51" s="1"/>
      <c r="T51" s="1">
        <f>SUM(OSRRefT22_7x_0)</f>
        <v>1145</v>
      </c>
      <c r="U51" s="1"/>
      <c r="V51" s="5">
        <f t="shared" si="21"/>
        <v>0</v>
      </c>
      <c r="W51" s="1"/>
      <c r="X51" s="1">
        <f t="shared" si="22"/>
        <v>-817.65</v>
      </c>
      <c r="Y51" s="1"/>
      <c r="Z51" s="5">
        <f t="shared" si="23"/>
        <v>-0.71410480349344974</v>
      </c>
    </row>
    <row r="52" spans="1:26" s="24" customFormat="1" hidden="1" outlineLevel="2" x14ac:dyDescent="0.25">
      <c r="A52" s="28"/>
      <c r="B52" s="11" t="str">
        <f>CONCATENATE("          ", "6312", " - ", "FIRE &amp; THEFT INSURANCE")</f>
        <v xml:space="preserve">          6312 - FIRE &amp; THEFT INSURANCE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780</v>
      </c>
      <c r="U52" s="2"/>
      <c r="V52" s="7">
        <f t="shared" si="21"/>
        <v>0</v>
      </c>
      <c r="W52" s="2"/>
      <c r="X52" s="6">
        <f t="shared" si="22"/>
        <v>-780</v>
      </c>
      <c r="Y52" s="2"/>
      <c r="Z52" s="7">
        <f t="shared" si="23"/>
        <v>-1</v>
      </c>
    </row>
    <row r="53" spans="1:26" s="24" customFormat="1" hidden="1" outlineLevel="2" x14ac:dyDescent="0.25">
      <c r="A53" s="28"/>
      <c r="B53" s="11" t="str">
        <f>CONCATENATE("          ", "6314", " - ", "LIABILITY INSURANCE")</f>
        <v xml:space="preserve">          6314 - LIABILITY INSURANCE</v>
      </c>
      <c r="C53" s="11"/>
      <c r="D53" s="6">
        <v>65.47</v>
      </c>
      <c r="E53" s="2"/>
      <c r="F53" s="7">
        <f t="shared" si="16"/>
        <v>0</v>
      </c>
      <c r="G53" s="2"/>
      <c r="H53" s="6">
        <v>73</v>
      </c>
      <c r="I53" s="2"/>
      <c r="J53" s="7">
        <f t="shared" si="17"/>
        <v>0</v>
      </c>
      <c r="K53" s="2"/>
      <c r="L53" s="6">
        <f t="shared" si="18"/>
        <v>-7.5300000000000011</v>
      </c>
      <c r="M53" s="2"/>
      <c r="N53" s="7">
        <f t="shared" si="19"/>
        <v>-0.10315068493150686</v>
      </c>
      <c r="O53" s="11"/>
      <c r="P53" s="6">
        <v>327.35000000000002</v>
      </c>
      <c r="Q53" s="2"/>
      <c r="R53" s="7">
        <f t="shared" si="20"/>
        <v>0</v>
      </c>
      <c r="S53" s="2"/>
      <c r="T53" s="6">
        <v>365</v>
      </c>
      <c r="U53" s="2"/>
      <c r="V53" s="7">
        <f t="shared" si="21"/>
        <v>0</v>
      </c>
      <c r="W53" s="2"/>
      <c r="X53" s="6">
        <f t="shared" si="22"/>
        <v>-37.649999999999977</v>
      </c>
      <c r="Y53" s="2"/>
      <c r="Z53" s="7">
        <f t="shared" si="23"/>
        <v>-0.10315068493150678</v>
      </c>
    </row>
    <row r="54" spans="1:26" s="29" customFormat="1" outlineLevel="1" collapsed="1" x14ac:dyDescent="0.25">
      <c r="A54" s="27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131.37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-1951.63</v>
      </c>
      <c r="M54" s="1"/>
      <c r="N54" s="5">
        <f t="shared" ref="N54:N57" si="27">IF(H54=0,0,L54/H54)</f>
        <v>-0.93693230916946713</v>
      </c>
      <c r="O54" s="14"/>
      <c r="P54" s="1">
        <f>SUM(OSRRefP22_8x_0)</f>
        <v>4802.58</v>
      </c>
      <c r="Q54" s="1"/>
      <c r="R54" s="5">
        <f t="shared" ref="R54:R57" si="28">IF(P$12=0,0,P54/P$12)</f>
        <v>0</v>
      </c>
      <c r="S54" s="1"/>
      <c r="T54" s="1">
        <f>SUM(OSRRefT22_8x_0)</f>
        <v>10415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-5612.42</v>
      </c>
      <c r="Y54" s="1"/>
      <c r="Z54" s="5">
        <f t="shared" ref="Z54:Z57" si="31">IF(T54=0,0,X54/T54)</f>
        <v>-0.53887854056649065</v>
      </c>
    </row>
    <row r="55" spans="1:26" s="24" customFormat="1" hidden="1" outlineLevel="2" x14ac:dyDescent="0.25">
      <c r="A55" s="28"/>
      <c r="B55" s="11" t="str">
        <f>CONCATENATE("          ", "6332", " - ", "CONSULTANT FEES")</f>
        <v xml:space="preserve">          6332 - CONSULTANT FEES</v>
      </c>
      <c r="C55" s="11"/>
      <c r="D55" s="6"/>
      <c r="E55" s="2"/>
      <c r="F55" s="7">
        <f t="shared" si="24"/>
        <v>0</v>
      </c>
      <c r="G55" s="2"/>
      <c r="H55" s="6">
        <v>0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/>
      <c r="Q55" s="2"/>
      <c r="R55" s="7">
        <f t="shared" si="28"/>
        <v>0</v>
      </c>
      <c r="S55" s="2"/>
      <c r="T55" s="6">
        <v>0</v>
      </c>
      <c r="U55" s="2"/>
      <c r="V55" s="7">
        <f t="shared" si="29"/>
        <v>0</v>
      </c>
      <c r="W55" s="2"/>
      <c r="X55" s="6">
        <f t="shared" si="30"/>
        <v>0</v>
      </c>
      <c r="Y55" s="2"/>
      <c r="Z55" s="7">
        <f t="shared" si="31"/>
        <v>0</v>
      </c>
    </row>
    <row r="56" spans="1:26" s="24" customFormat="1" hidden="1" outlineLevel="2" x14ac:dyDescent="0.25">
      <c r="A56" s="28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24"/>
        <v>0</v>
      </c>
      <c r="G56" s="2"/>
      <c r="H56" s="6">
        <v>833</v>
      </c>
      <c r="I56" s="2"/>
      <c r="J56" s="7">
        <f t="shared" si="25"/>
        <v>0</v>
      </c>
      <c r="K56" s="2"/>
      <c r="L56" s="6">
        <f t="shared" si="26"/>
        <v>-833</v>
      </c>
      <c r="M56" s="2"/>
      <c r="N56" s="7">
        <f t="shared" si="27"/>
        <v>-1</v>
      </c>
      <c r="O56" s="11"/>
      <c r="P56" s="6">
        <v>385</v>
      </c>
      <c r="Q56" s="2"/>
      <c r="R56" s="7">
        <f t="shared" si="28"/>
        <v>0</v>
      </c>
      <c r="S56" s="2"/>
      <c r="T56" s="6">
        <v>4165</v>
      </c>
      <c r="U56" s="2"/>
      <c r="V56" s="7">
        <f t="shared" si="29"/>
        <v>0</v>
      </c>
      <c r="W56" s="2"/>
      <c r="X56" s="6">
        <f t="shared" si="30"/>
        <v>-3780</v>
      </c>
      <c r="Y56" s="2"/>
      <c r="Z56" s="7">
        <f t="shared" si="31"/>
        <v>-0.90756302521008403</v>
      </c>
    </row>
    <row r="57" spans="1:26" s="24" customFormat="1" hidden="1" outlineLevel="2" x14ac:dyDescent="0.25">
      <c r="A57" s="28"/>
      <c r="B57" s="11" t="str">
        <f>CONCATENATE("          ", "6336", " - ", "PROFESSIONAL SERVICES")</f>
        <v xml:space="preserve">          6336 - PROFESSIONAL SERVICES</v>
      </c>
      <c r="C57" s="11"/>
      <c r="D57" s="6">
        <v>131.37</v>
      </c>
      <c r="E57" s="2"/>
      <c r="F57" s="7">
        <f t="shared" si="24"/>
        <v>0</v>
      </c>
      <c r="G57" s="2"/>
      <c r="H57" s="6">
        <v>1250</v>
      </c>
      <c r="I57" s="2"/>
      <c r="J57" s="7">
        <f t="shared" si="25"/>
        <v>0</v>
      </c>
      <c r="K57" s="2"/>
      <c r="L57" s="6">
        <f t="shared" si="26"/>
        <v>-1118.6300000000001</v>
      </c>
      <c r="M57" s="2"/>
      <c r="N57" s="7">
        <f t="shared" si="27"/>
        <v>-0.89490400000000003</v>
      </c>
      <c r="O57" s="11"/>
      <c r="P57" s="6">
        <v>4417.58</v>
      </c>
      <c r="Q57" s="2"/>
      <c r="R57" s="7">
        <f t="shared" si="28"/>
        <v>0</v>
      </c>
      <c r="S57" s="2"/>
      <c r="T57" s="6">
        <v>6250</v>
      </c>
      <c r="U57" s="2"/>
      <c r="V57" s="7">
        <f t="shared" si="29"/>
        <v>0</v>
      </c>
      <c r="W57" s="2"/>
      <c r="X57" s="6">
        <f t="shared" si="30"/>
        <v>-1832.42</v>
      </c>
      <c r="Y57" s="2"/>
      <c r="Z57" s="7">
        <f t="shared" si="31"/>
        <v>-0.29318720000000004</v>
      </c>
    </row>
    <row r="58" spans="1:26" s="29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4215.55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-2867.45</v>
      </c>
      <c r="M58" s="1"/>
      <c r="N58" s="5">
        <f t="shared" ref="N58:N60" si="35">IF(H58=0,0,L58/H58)</f>
        <v>-0.40483552167160802</v>
      </c>
      <c r="O58" s="14"/>
      <c r="P58" s="1">
        <f>SUM(OSRRefP22_9x_0)</f>
        <v>20153.61</v>
      </c>
      <c r="Q58" s="1"/>
      <c r="R58" s="5">
        <f t="shared" ref="R58:R60" si="36">IF(P$12=0,0,P58/P$12)</f>
        <v>0</v>
      </c>
      <c r="S58" s="1"/>
      <c r="T58" s="1">
        <f>SUM(OSRRefT22_9x_0)</f>
        <v>35415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-15261.39</v>
      </c>
      <c r="Y58" s="1"/>
      <c r="Z58" s="5">
        <f t="shared" ref="Z58:Z60" si="39">IF(T58=0,0,X58/T58)</f>
        <v>-0.43093011435832274</v>
      </c>
    </row>
    <row r="59" spans="1:26" s="24" customFormat="1" hidden="1" outlineLevel="2" x14ac:dyDescent="0.25">
      <c r="A59" s="28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4157.46</v>
      </c>
      <c r="E59" s="2"/>
      <c r="F59" s="7">
        <f t="shared" si="32"/>
        <v>0</v>
      </c>
      <c r="G59" s="2"/>
      <c r="H59" s="6">
        <v>7083</v>
      </c>
      <c r="I59" s="2"/>
      <c r="J59" s="7">
        <f t="shared" si="33"/>
        <v>0</v>
      </c>
      <c r="K59" s="2"/>
      <c r="L59" s="6">
        <f t="shared" si="34"/>
        <v>-2925.54</v>
      </c>
      <c r="M59" s="2"/>
      <c r="N59" s="7">
        <f t="shared" si="35"/>
        <v>-0.41303684879288438</v>
      </c>
      <c r="O59" s="11"/>
      <c r="P59" s="6">
        <v>20095.52</v>
      </c>
      <c r="Q59" s="2"/>
      <c r="R59" s="7">
        <f t="shared" si="36"/>
        <v>0</v>
      </c>
      <c r="S59" s="2"/>
      <c r="T59" s="6">
        <v>35415</v>
      </c>
      <c r="U59" s="2"/>
      <c r="V59" s="7">
        <f t="shared" si="37"/>
        <v>0</v>
      </c>
      <c r="W59" s="2"/>
      <c r="X59" s="6">
        <f t="shared" si="38"/>
        <v>-15319.48</v>
      </c>
      <c r="Y59" s="2"/>
      <c r="Z59" s="7">
        <f t="shared" si="39"/>
        <v>-0.43257037978257801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>
        <v>58.09</v>
      </c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58.09</v>
      </c>
      <c r="M60" s="2"/>
      <c r="N60" s="7">
        <f t="shared" si="35"/>
        <v>0</v>
      </c>
      <c r="O60" s="11"/>
      <c r="P60" s="6">
        <v>58.09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58.09</v>
      </c>
      <c r="Y60" s="2"/>
      <c r="Z60" s="7">
        <f t="shared" si="39"/>
        <v>0</v>
      </c>
    </row>
    <row r="61" spans="1:26" s="29" customFormat="1" outlineLevel="1" collapsed="1" x14ac:dyDescent="0.25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4"/>
      <c r="P61" s="1">
        <f>SUM(OSRRefP22_10x_0)</f>
        <v>534.99</v>
      </c>
      <c r="Q61" s="1"/>
      <c r="R61" s="5">
        <f t="shared" ref="R61:R66" si="44">IF(P$12=0,0,P61/P$12)</f>
        <v>0</v>
      </c>
      <c r="S61" s="1"/>
      <c r="T61" s="1">
        <f>SUM(OSRRefT22_10x_0)</f>
        <v>275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259.99</v>
      </c>
      <c r="Y61" s="1"/>
      <c r="Z61" s="5">
        <f t="shared" ref="Z61:Z66" si="47">IF(T61=0,0,X61/T61)</f>
        <v>0.94541818181818182</v>
      </c>
    </row>
    <row r="62" spans="1:26" s="24" customFormat="1" hidden="1" outlineLevel="2" x14ac:dyDescent="0.25">
      <c r="A62" s="28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40"/>
        <v>0</v>
      </c>
      <c r="G62" s="2"/>
      <c r="H62" s="6">
        <v>55</v>
      </c>
      <c r="I62" s="2"/>
      <c r="J62" s="7">
        <f t="shared" si="41"/>
        <v>0</v>
      </c>
      <c r="K62" s="2"/>
      <c r="L62" s="6">
        <f t="shared" si="42"/>
        <v>-55</v>
      </c>
      <c r="M62" s="2"/>
      <c r="N62" s="7">
        <f t="shared" si="43"/>
        <v>-1</v>
      </c>
      <c r="O62" s="11"/>
      <c r="P62" s="6">
        <v>534.99</v>
      </c>
      <c r="Q62" s="2"/>
      <c r="R62" s="7">
        <f t="shared" si="44"/>
        <v>0</v>
      </c>
      <c r="S62" s="2"/>
      <c r="T62" s="6">
        <v>275</v>
      </c>
      <c r="U62" s="2"/>
      <c r="V62" s="7">
        <f t="shared" si="45"/>
        <v>0</v>
      </c>
      <c r="W62" s="2"/>
      <c r="X62" s="6">
        <f t="shared" si="46"/>
        <v>259.99</v>
      </c>
      <c r="Y62" s="2"/>
      <c r="Z62" s="7">
        <f t="shared" si="47"/>
        <v>0.94541818181818182</v>
      </c>
    </row>
    <row r="63" spans="1:26" s="29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-50.12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-2134.12</v>
      </c>
      <c r="M63" s="1"/>
      <c r="N63" s="5">
        <f t="shared" si="43"/>
        <v>-1.0240499040307101</v>
      </c>
      <c r="O63" s="14"/>
      <c r="P63" s="1">
        <f>SUM(OSRRefP22_11x_0)</f>
        <v>1290.1600000000001</v>
      </c>
      <c r="Q63" s="1"/>
      <c r="R63" s="5">
        <f t="shared" si="44"/>
        <v>0</v>
      </c>
      <c r="S63" s="1"/>
      <c r="T63" s="1">
        <f>SUM(OSRRefT22_11x_0)</f>
        <v>10420</v>
      </c>
      <c r="U63" s="1"/>
      <c r="V63" s="5">
        <f t="shared" si="45"/>
        <v>0</v>
      </c>
      <c r="W63" s="1"/>
      <c r="X63" s="1">
        <f t="shared" si="46"/>
        <v>-9129.84</v>
      </c>
      <c r="Y63" s="1"/>
      <c r="Z63" s="5">
        <f t="shared" si="47"/>
        <v>-0.87618426103646829</v>
      </c>
    </row>
    <row r="64" spans="1:26" s="24" customFormat="1" hidden="1" outlineLevel="2" x14ac:dyDescent="0.25">
      <c r="A64" s="28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0"/>
        <v>0</v>
      </c>
      <c r="G64" s="2"/>
      <c r="H64" s="6">
        <v>417</v>
      </c>
      <c r="I64" s="2"/>
      <c r="J64" s="7">
        <f t="shared" si="41"/>
        <v>0</v>
      </c>
      <c r="K64" s="2"/>
      <c r="L64" s="6">
        <f t="shared" si="42"/>
        <v>-417</v>
      </c>
      <c r="M64" s="2"/>
      <c r="N64" s="7">
        <f t="shared" si="43"/>
        <v>-1</v>
      </c>
      <c r="O64" s="11"/>
      <c r="P64" s="6">
        <v>210.58</v>
      </c>
      <c r="Q64" s="2"/>
      <c r="R64" s="7">
        <f t="shared" si="44"/>
        <v>0</v>
      </c>
      <c r="S64" s="2"/>
      <c r="T64" s="6">
        <v>2085</v>
      </c>
      <c r="U64" s="2"/>
      <c r="V64" s="7">
        <f t="shared" si="45"/>
        <v>0</v>
      </c>
      <c r="W64" s="2"/>
      <c r="X64" s="6">
        <f t="shared" si="46"/>
        <v>-1874.42</v>
      </c>
      <c r="Y64" s="2"/>
      <c r="Z64" s="7">
        <f t="shared" si="47"/>
        <v>-0.89900239808153481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6">
        <v>-50.12</v>
      </c>
      <c r="E65" s="2"/>
      <c r="F65" s="7">
        <f t="shared" si="40"/>
        <v>0</v>
      </c>
      <c r="G65" s="2"/>
      <c r="H65" s="6">
        <v>1250</v>
      </c>
      <c r="I65" s="2"/>
      <c r="J65" s="7">
        <f t="shared" si="41"/>
        <v>0</v>
      </c>
      <c r="K65" s="2"/>
      <c r="L65" s="6">
        <f t="shared" si="42"/>
        <v>-1300.1199999999999</v>
      </c>
      <c r="M65" s="2"/>
      <c r="N65" s="7">
        <f t="shared" si="43"/>
        <v>-1.0400959999999999</v>
      </c>
      <c r="O65" s="11"/>
      <c r="P65" s="6">
        <v>856.87</v>
      </c>
      <c r="Q65" s="2"/>
      <c r="R65" s="7">
        <f t="shared" si="44"/>
        <v>0</v>
      </c>
      <c r="S65" s="2"/>
      <c r="T65" s="6">
        <v>6250</v>
      </c>
      <c r="U65" s="2"/>
      <c r="V65" s="7">
        <f t="shared" si="45"/>
        <v>0</v>
      </c>
      <c r="W65" s="2"/>
      <c r="X65" s="6">
        <f t="shared" si="46"/>
        <v>-5393.13</v>
      </c>
      <c r="Y65" s="2"/>
      <c r="Z65" s="7">
        <f t="shared" si="47"/>
        <v>-0.86290080000000002</v>
      </c>
    </row>
    <row r="66" spans="1:26" s="24" customFormat="1" hidden="1" outlineLevel="2" x14ac:dyDescent="0.25">
      <c r="A66" s="28"/>
      <c r="B66" s="11" t="str">
        <f>CONCATENATE("          ", "6244", " - ", "SAFETY SUPPLY EXPENSE")</f>
        <v xml:space="preserve">          6244 - SAFETY SUPPLY EXPENSE</v>
      </c>
      <c r="C66" s="11"/>
      <c r="D66" s="6"/>
      <c r="E66" s="2"/>
      <c r="F66" s="7">
        <f t="shared" si="40"/>
        <v>0</v>
      </c>
      <c r="G66" s="2"/>
      <c r="H66" s="6">
        <v>417</v>
      </c>
      <c r="I66" s="2"/>
      <c r="J66" s="7">
        <f t="shared" si="41"/>
        <v>0</v>
      </c>
      <c r="K66" s="2"/>
      <c r="L66" s="6">
        <f t="shared" si="42"/>
        <v>-417</v>
      </c>
      <c r="M66" s="2"/>
      <c r="N66" s="7">
        <f t="shared" si="43"/>
        <v>-1</v>
      </c>
      <c r="O66" s="11"/>
      <c r="P66" s="6">
        <v>222.71</v>
      </c>
      <c r="Q66" s="2"/>
      <c r="R66" s="7">
        <f t="shared" si="44"/>
        <v>0</v>
      </c>
      <c r="S66" s="2"/>
      <c r="T66" s="6">
        <v>2085</v>
      </c>
      <c r="U66" s="2"/>
      <c r="V66" s="7">
        <f t="shared" si="45"/>
        <v>0</v>
      </c>
      <c r="W66" s="2"/>
      <c r="X66" s="6">
        <f t="shared" si="46"/>
        <v>-1862.29</v>
      </c>
      <c r="Y66" s="2"/>
      <c r="Z66" s="7">
        <f t="shared" si="47"/>
        <v>-0.89318465227817745</v>
      </c>
    </row>
    <row r="67" spans="1:26" s="29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332.7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42.699999999999989</v>
      </c>
      <c r="M67" s="1"/>
      <c r="N67" s="5">
        <f t="shared" ref="N67:N72" si="51">IF(H67=0,0,L67/H67)</f>
        <v>0.14724137931034478</v>
      </c>
      <c r="O67" s="14"/>
      <c r="P67" s="1">
        <f>SUM(OSRRefP22_12x_0)</f>
        <v>1657.05</v>
      </c>
      <c r="Q67" s="1"/>
      <c r="R67" s="5">
        <f t="shared" ref="R67:R72" si="52">IF(P$12=0,0,P67/P$12)</f>
        <v>0</v>
      </c>
      <c r="S67" s="1"/>
      <c r="T67" s="1">
        <f>SUM(OSRRefT22_12x_0)</f>
        <v>1450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207.04999999999995</v>
      </c>
      <c r="Y67" s="1"/>
      <c r="Z67" s="5">
        <f t="shared" ref="Z67:Z72" si="55">IF(T67=0,0,X67/T67)</f>
        <v>0.14279310344827584</v>
      </c>
    </row>
    <row r="68" spans="1:26" s="24" customFormat="1" hidden="1" outlineLevel="2" x14ac:dyDescent="0.25">
      <c r="A68" s="28"/>
      <c r="B68" s="11" t="str">
        <f>CONCATENATE("          ", "6309", " - ", "TELEPHONE")</f>
        <v xml:space="preserve">          6309 - TELEPHONE</v>
      </c>
      <c r="C68" s="11"/>
      <c r="D68" s="6">
        <v>332.7</v>
      </c>
      <c r="E68" s="2"/>
      <c r="F68" s="7">
        <f t="shared" si="48"/>
        <v>0</v>
      </c>
      <c r="G68" s="2"/>
      <c r="H68" s="6">
        <v>290</v>
      </c>
      <c r="I68" s="2"/>
      <c r="J68" s="7">
        <f t="shared" si="49"/>
        <v>0</v>
      </c>
      <c r="K68" s="2"/>
      <c r="L68" s="6">
        <f t="shared" si="50"/>
        <v>42.699999999999989</v>
      </c>
      <c r="M68" s="2"/>
      <c r="N68" s="7">
        <f t="shared" si="51"/>
        <v>0.14724137931034478</v>
      </c>
      <c r="O68" s="11"/>
      <c r="P68" s="6">
        <v>1657.05</v>
      </c>
      <c r="Q68" s="2"/>
      <c r="R68" s="7">
        <f t="shared" si="52"/>
        <v>0</v>
      </c>
      <c r="S68" s="2"/>
      <c r="T68" s="6">
        <v>1450</v>
      </c>
      <c r="U68" s="2"/>
      <c r="V68" s="7">
        <f t="shared" si="53"/>
        <v>0</v>
      </c>
      <c r="W68" s="2"/>
      <c r="X68" s="6">
        <f t="shared" si="54"/>
        <v>207.04999999999995</v>
      </c>
      <c r="Y68" s="2"/>
      <c r="Z68" s="7">
        <f t="shared" si="55"/>
        <v>0.14279310344827584</v>
      </c>
    </row>
    <row r="69" spans="1:26" s="29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4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4730</v>
      </c>
      <c r="U69" s="1"/>
      <c r="V69" s="5">
        <f t="shared" si="53"/>
        <v>0</v>
      </c>
      <c r="W69" s="1"/>
      <c r="X69" s="1">
        <f t="shared" si="54"/>
        <v>-4827</v>
      </c>
      <c r="Y69" s="1"/>
      <c r="Z69" s="5">
        <f t="shared" si="55"/>
        <v>-1.020507399577167</v>
      </c>
    </row>
    <row r="70" spans="1:26" s="24" customFormat="1" hidden="1" outlineLevel="2" x14ac:dyDescent="0.25">
      <c r="A70" s="28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8"/>
        <v>0</v>
      </c>
      <c r="G70" s="2"/>
      <c r="H70" s="6">
        <v>946</v>
      </c>
      <c r="I70" s="2"/>
      <c r="J70" s="7">
        <f t="shared" si="49"/>
        <v>0</v>
      </c>
      <c r="K70" s="2"/>
      <c r="L70" s="6">
        <f t="shared" si="50"/>
        <v>-946</v>
      </c>
      <c r="M70" s="2"/>
      <c r="N70" s="7">
        <f t="shared" si="51"/>
        <v>-1</v>
      </c>
      <c r="O70" s="11"/>
      <c r="P70" s="6">
        <v>-97</v>
      </c>
      <c r="Q70" s="2"/>
      <c r="R70" s="7">
        <f t="shared" si="52"/>
        <v>0</v>
      </c>
      <c r="S70" s="2"/>
      <c r="T70" s="6">
        <v>4730</v>
      </c>
      <c r="U70" s="2"/>
      <c r="V70" s="7">
        <f t="shared" si="53"/>
        <v>0</v>
      </c>
      <c r="W70" s="2"/>
      <c r="X70" s="6">
        <f t="shared" si="54"/>
        <v>-4827</v>
      </c>
      <c r="Y70" s="2"/>
      <c r="Z70" s="7">
        <f t="shared" si="55"/>
        <v>-1.020507399577167</v>
      </c>
    </row>
    <row r="71" spans="1:26" s="29" customFormat="1" outlineLevel="1" collapsed="1" x14ac:dyDescent="0.25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720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720</v>
      </c>
      <c r="M71" s="1"/>
      <c r="N71" s="5">
        <f t="shared" si="51"/>
        <v>0</v>
      </c>
      <c r="O71" s="14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8"/>
      <c r="B72" s="11" t="str">
        <f>CONCATENATE("          ", "6292", " - ", "TRAVEL/CONFERENCE")</f>
        <v xml:space="preserve">          6292 - TRAVEL/CONFERENCE</v>
      </c>
      <c r="C72" s="11"/>
      <c r="D72" s="6">
        <v>720</v>
      </c>
      <c r="E72" s="2"/>
      <c r="F72" s="7">
        <f t="shared" si="48"/>
        <v>0</v>
      </c>
      <c r="G72" s="2"/>
      <c r="H72" s="6"/>
      <c r="I72" s="2"/>
      <c r="J72" s="7">
        <f t="shared" si="49"/>
        <v>0</v>
      </c>
      <c r="K72" s="2"/>
      <c r="L72" s="6">
        <f t="shared" si="50"/>
        <v>720</v>
      </c>
      <c r="M72" s="2"/>
      <c r="N72" s="7">
        <f t="shared" si="51"/>
        <v>0</v>
      </c>
      <c r="O72" s="11"/>
      <c r="P72" s="6">
        <v>720</v>
      </c>
      <c r="Q72" s="2"/>
      <c r="R72" s="7">
        <f t="shared" si="52"/>
        <v>0</v>
      </c>
      <c r="S72" s="2"/>
      <c r="T72" s="6"/>
      <c r="U72" s="2"/>
      <c r="V72" s="7">
        <f t="shared" si="53"/>
        <v>0</v>
      </c>
      <c r="W72" s="2"/>
      <c r="X72" s="6">
        <f t="shared" si="54"/>
        <v>720</v>
      </c>
      <c r="Y72" s="2"/>
      <c r="Z72" s="7">
        <f t="shared" si="55"/>
        <v>0</v>
      </c>
    </row>
    <row r="73" spans="1:26" s="62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6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3</v>
      </c>
      <c r="C76" s="25"/>
      <c r="D76" s="21">
        <f>+D16-D18+D74</f>
        <v>-41689.03</v>
      </c>
      <c r="E76" s="13"/>
      <c r="F76" s="20">
        <f>IF(D$12=0,0,D76/D$12)</f>
        <v>0</v>
      </c>
      <c r="G76" s="13"/>
      <c r="H76" s="21">
        <f>+H16-H18+H74</f>
        <v>-49905.525784615391</v>
      </c>
      <c r="I76" s="13"/>
      <c r="J76" s="20">
        <f>IF(H$12=0,0,H76/H$12)</f>
        <v>0</v>
      </c>
      <c r="K76" s="16"/>
      <c r="L76" s="21">
        <f>+D76-H76</f>
        <v>8216.495784615392</v>
      </c>
      <c r="M76" s="16"/>
      <c r="N76" s="20">
        <f>IF(H76=0,0,L76/H76)</f>
        <v>-0.16464100228252337</v>
      </c>
      <c r="O76" s="26"/>
      <c r="P76" s="21">
        <f>+P16-P18+P74</f>
        <v>-230388.40999999992</v>
      </c>
      <c r="Q76" s="13"/>
      <c r="R76" s="20">
        <f>IF(P$12=0,0,P76/P$12)</f>
        <v>0</v>
      </c>
      <c r="S76" s="13"/>
      <c r="T76" s="21">
        <f>+T16-T18+T74</f>
        <v>-267244.89181538473</v>
      </c>
      <c r="U76" s="13"/>
      <c r="V76" s="20">
        <f>IF(T$12=0,0,T76/T$12)</f>
        <v>0</v>
      </c>
      <c r="W76" s="16"/>
      <c r="X76" s="21">
        <f>+P76-T76</f>
        <v>36856.481815384817</v>
      </c>
      <c r="Y76" s="16"/>
      <c r="Z76" s="20">
        <f>IF(T76=0,0,X76/T76)</f>
        <v>-0.13791276444993986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4</v>
      </c>
      <c r="C80" s="25"/>
      <c r="D80" s="31">
        <f>+D76-D78</f>
        <v>-41689.03</v>
      </c>
      <c r="E80" s="13"/>
      <c r="F80" s="34">
        <f>IF(D$12=0,0,D80/D$12)</f>
        <v>0</v>
      </c>
      <c r="G80" s="13"/>
      <c r="H80" s="31">
        <f>+H76-H78</f>
        <v>-49905.525784615391</v>
      </c>
      <c r="I80" s="13"/>
      <c r="J80" s="34">
        <f>IF(H$12=0,0,H80/H$12)</f>
        <v>0</v>
      </c>
      <c r="K80" s="16"/>
      <c r="L80" s="31">
        <f>D80-H80</f>
        <v>8216.495784615392</v>
      </c>
      <c r="M80" s="16"/>
      <c r="N80" s="34">
        <f>IF(H80=0,0,L80/H80)</f>
        <v>-0.16464100228252337</v>
      </c>
      <c r="O80" s="26"/>
      <c r="P80" s="31">
        <f>+P76-P78</f>
        <v>-230388.40999999992</v>
      </c>
      <c r="Q80" s="13"/>
      <c r="R80" s="34">
        <f>IF(P$12=0,0,P80/P$12)</f>
        <v>0</v>
      </c>
      <c r="S80" s="13"/>
      <c r="T80" s="31">
        <f>+T76-T78</f>
        <v>-267244.89181538473</v>
      </c>
      <c r="U80" s="13"/>
      <c r="V80" s="34">
        <f>IF(T$12=0,0,T80/T$12)</f>
        <v>0</v>
      </c>
      <c r="W80" s="16"/>
      <c r="X80" s="31">
        <f>P80-T80</f>
        <v>36856.481815384817</v>
      </c>
      <c r="Y80" s="16"/>
      <c r="Z80" s="34">
        <f>IF(T80=0,0,X80/T80)</f>
        <v>-0.13791276444993986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5</v>
      </c>
      <c r="C83" s="25"/>
      <c r="D83" s="33">
        <f>SUM(D80:D82)</f>
        <v>-41689.03</v>
      </c>
      <c r="E83" s="13"/>
      <c r="F83" s="30">
        <f>IF(D$12=0,0,D83/D$12)</f>
        <v>0</v>
      </c>
      <c r="G83" s="13"/>
      <c r="H83" s="33">
        <f>SUM(H80:H82)</f>
        <v>-49905.525784615391</v>
      </c>
      <c r="I83" s="13"/>
      <c r="J83" s="30">
        <f>IF(H$12=0,0,H83/H$12)</f>
        <v>0</v>
      </c>
      <c r="K83" s="16"/>
      <c r="L83" s="33">
        <f>+D83-H83</f>
        <v>8216.495784615392</v>
      </c>
      <c r="M83" s="16"/>
      <c r="N83" s="30">
        <f>IF(H83=0,0,L83/H83)</f>
        <v>-0.16464100228252337</v>
      </c>
      <c r="O83" s="26"/>
      <c r="P83" s="33">
        <f>SUM(P80:P82)</f>
        <v>-230388.40999999992</v>
      </c>
      <c r="Q83" s="13"/>
      <c r="R83" s="30">
        <f>IF(P$12=0,0,P83/P$12)</f>
        <v>0</v>
      </c>
      <c r="S83" s="13"/>
      <c r="T83" s="33">
        <f>SUM(T80:T82)</f>
        <v>-267244.89181538473</v>
      </c>
      <c r="U83" s="13"/>
      <c r="V83" s="30">
        <f>IF(T$12=0,0,T83/T$12)</f>
        <v>0</v>
      </c>
      <c r="W83" s="16"/>
      <c r="X83" s="33">
        <f>+P83-T83</f>
        <v>36856.481815384817</v>
      </c>
      <c r="Y83" s="16"/>
      <c r="Z83" s="30">
        <f>IF(T83=0,0,X83/T83)</f>
        <v>-0.13791276444993986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5">
        <v>44174.679353437503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7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50583.669999999991</v>
      </c>
      <c r="E18" s="19"/>
      <c r="F18" s="35">
        <f t="shared" ref="F18:F29" si="0">IF(D$12=0,0,D18/D$12)</f>
        <v>0</v>
      </c>
      <c r="G18" s="19"/>
      <c r="H18" s="19">
        <f>SUM(OSRRefH22x_0)</f>
        <v>51342.722846153818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-759.05284615382698</v>
      </c>
      <c r="M18" s="4"/>
      <c r="N18" s="35">
        <f t="shared" ref="N18:N29" si="3">IF(H18=0,0,L18/H18)</f>
        <v>-1.4784039569313357E-2</v>
      </c>
      <c r="O18" s="10"/>
      <c r="P18" s="19">
        <f>SUM(OSRRefP22x_0)</f>
        <v>261691.25000000003</v>
      </c>
      <c r="Q18" s="19"/>
      <c r="R18" s="35">
        <f t="shared" ref="R18:R29" si="4">IF(P$12=0,0,P18/P$12)</f>
        <v>0</v>
      </c>
      <c r="S18" s="19"/>
      <c r="T18" s="19">
        <f>SUM(OSRRefT22x_0)</f>
        <v>262993.49099999998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-1302.2409999999509</v>
      </c>
      <c r="Y18" s="4"/>
      <c r="Z18" s="35">
        <f t="shared" ref="Z18:Z29" si="7">IF(T18=0,0,X18/T18)</f>
        <v>-4.9516092396368512E-3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13374.209999999997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2392.5640769230831</v>
      </c>
      <c r="M19" s="1"/>
      <c r="N19" s="5">
        <f t="shared" si="3"/>
        <v>0.2178693516147093</v>
      </c>
      <c r="O19" s="14"/>
      <c r="P19" s="1">
        <f>SUM(OSRRefP22_0x_0)</f>
        <v>65802.239999999991</v>
      </c>
      <c r="Q19" s="1"/>
      <c r="R19" s="5">
        <f t="shared" si="4"/>
        <v>0</v>
      </c>
      <c r="S19" s="1"/>
      <c r="T19" s="1">
        <f>SUM(OSRRefT22_0x_0)</f>
        <v>60764.567923076902</v>
      </c>
      <c r="U19" s="1"/>
      <c r="V19" s="5">
        <f t="shared" si="5"/>
        <v>0</v>
      </c>
      <c r="W19" s="1"/>
      <c r="X19" s="1">
        <f t="shared" si="6"/>
        <v>5037.6720769230888</v>
      </c>
      <c r="Y19" s="1"/>
      <c r="Z19" s="5">
        <f t="shared" si="7"/>
        <v>8.290476257973857E-2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1559.82</v>
      </c>
      <c r="E20" s="2"/>
      <c r="F20" s="7">
        <f t="shared" si="0"/>
        <v>0</v>
      </c>
      <c r="G20" s="2"/>
      <c r="H20" s="6">
        <v>1606.5413076923101</v>
      </c>
      <c r="I20" s="2"/>
      <c r="J20" s="7">
        <f t="shared" si="1"/>
        <v>0</v>
      </c>
      <c r="K20" s="2"/>
      <c r="L20" s="6">
        <f t="shared" si="2"/>
        <v>-46.72130769231012</v>
      </c>
      <c r="M20" s="2"/>
      <c r="N20" s="7">
        <f t="shared" si="3"/>
        <v>-2.9081921185968244E-2</v>
      </c>
      <c r="O20" s="11"/>
      <c r="P20" s="6">
        <v>9892.2099999999991</v>
      </c>
      <c r="Q20" s="2"/>
      <c r="R20" s="7">
        <f t="shared" si="4"/>
        <v>0</v>
      </c>
      <c r="S20" s="2"/>
      <c r="T20" s="6">
        <v>9260.7186923076897</v>
      </c>
      <c r="U20" s="2"/>
      <c r="V20" s="7">
        <f t="shared" si="5"/>
        <v>0</v>
      </c>
      <c r="W20" s="2"/>
      <c r="X20" s="6">
        <f t="shared" si="6"/>
        <v>631.49130769230942</v>
      </c>
      <c r="Y20" s="2"/>
      <c r="Z20" s="7">
        <f t="shared" si="7"/>
        <v>6.8190313157536084E-2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194.42</v>
      </c>
      <c r="E21" s="2"/>
      <c r="F21" s="7">
        <f t="shared" si="0"/>
        <v>0</v>
      </c>
      <c r="G21" s="2"/>
      <c r="H21" s="6">
        <v>69.274615384615402</v>
      </c>
      <c r="I21" s="2"/>
      <c r="J21" s="7">
        <f t="shared" si="1"/>
        <v>0</v>
      </c>
      <c r="K21" s="2"/>
      <c r="L21" s="6">
        <f t="shared" si="2"/>
        <v>125.14538461538459</v>
      </c>
      <c r="M21" s="2"/>
      <c r="N21" s="7">
        <f t="shared" si="3"/>
        <v>1.8065114316488438</v>
      </c>
      <c r="O21" s="11"/>
      <c r="P21" s="6">
        <v>479.14</v>
      </c>
      <c r="Q21" s="2"/>
      <c r="R21" s="7">
        <f t="shared" si="4"/>
        <v>0</v>
      </c>
      <c r="S21" s="2"/>
      <c r="T21" s="6">
        <v>399.32538461538445</v>
      </c>
      <c r="U21" s="2"/>
      <c r="V21" s="7">
        <f t="shared" si="5"/>
        <v>0</v>
      </c>
      <c r="W21" s="2"/>
      <c r="X21" s="6">
        <f t="shared" si="6"/>
        <v>79.814615384615536</v>
      </c>
      <c r="Y21" s="2"/>
      <c r="Z21" s="7">
        <f t="shared" si="7"/>
        <v>0.19987363303109329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4730.4807692307704</v>
      </c>
      <c r="I22" s="2"/>
      <c r="J22" s="7">
        <f t="shared" si="1"/>
        <v>0</v>
      </c>
      <c r="K22" s="2"/>
      <c r="L22" s="6">
        <f t="shared" si="2"/>
        <v>837.38923076922947</v>
      </c>
      <c r="M22" s="2"/>
      <c r="N22" s="7">
        <f t="shared" si="3"/>
        <v>0.17701989958737291</v>
      </c>
      <c r="O22" s="11"/>
      <c r="P22" s="6">
        <v>27839.350000000002</v>
      </c>
      <c r="Q22" s="2"/>
      <c r="R22" s="7">
        <f t="shared" si="4"/>
        <v>0</v>
      </c>
      <c r="S22" s="2"/>
      <c r="T22" s="6">
        <v>26320.673076923078</v>
      </c>
      <c r="U22" s="2"/>
      <c r="V22" s="7">
        <f t="shared" si="5"/>
        <v>0</v>
      </c>
      <c r="W22" s="2"/>
      <c r="X22" s="6">
        <f t="shared" si="6"/>
        <v>1518.6769230769241</v>
      </c>
      <c r="Y22" s="2"/>
      <c r="Z22" s="7">
        <f t="shared" si="7"/>
        <v>5.769901547116741E-2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114.01</v>
      </c>
      <c r="E23" s="2"/>
      <c r="F23" s="7">
        <f t="shared" si="0"/>
        <v>0</v>
      </c>
      <c r="G23" s="2"/>
      <c r="H23" s="6">
        <v>54.58</v>
      </c>
      <c r="I23" s="2"/>
      <c r="J23" s="7">
        <f t="shared" si="1"/>
        <v>0</v>
      </c>
      <c r="K23" s="2"/>
      <c r="L23" s="6">
        <f t="shared" si="2"/>
        <v>59.430000000000007</v>
      </c>
      <c r="M23" s="2"/>
      <c r="N23" s="7">
        <f t="shared" si="3"/>
        <v>1.0888603884206671</v>
      </c>
      <c r="O23" s="11"/>
      <c r="P23" s="6">
        <v>338.33</v>
      </c>
      <c r="Q23" s="2"/>
      <c r="R23" s="7">
        <f t="shared" si="4"/>
        <v>0</v>
      </c>
      <c r="S23" s="2"/>
      <c r="T23" s="6">
        <v>314.62</v>
      </c>
      <c r="U23" s="2"/>
      <c r="V23" s="7">
        <f t="shared" si="5"/>
        <v>0</v>
      </c>
      <c r="W23" s="2"/>
      <c r="X23" s="6">
        <f t="shared" si="6"/>
        <v>23.70999999999998</v>
      </c>
      <c r="Y23" s="2"/>
      <c r="Z23" s="7">
        <f t="shared" si="7"/>
        <v>7.5360752653995236E-2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3316.44</v>
      </c>
      <c r="E24" s="2"/>
      <c r="F24" s="7">
        <f t="shared" si="0"/>
        <v>0</v>
      </c>
      <c r="G24" s="2"/>
      <c r="H24" s="6">
        <v>1521.5384615384601</v>
      </c>
      <c r="I24" s="2"/>
      <c r="J24" s="7">
        <f t="shared" si="1"/>
        <v>0</v>
      </c>
      <c r="K24" s="2"/>
      <c r="L24" s="6">
        <f t="shared" si="2"/>
        <v>1794.90153846154</v>
      </c>
      <c r="M24" s="2"/>
      <c r="N24" s="7">
        <f t="shared" si="3"/>
        <v>1.1796622851365037</v>
      </c>
      <c r="O24" s="11"/>
      <c r="P24" s="6">
        <v>11691.88</v>
      </c>
      <c r="Q24" s="2"/>
      <c r="R24" s="7">
        <f t="shared" si="4"/>
        <v>0</v>
      </c>
      <c r="S24" s="2"/>
      <c r="T24" s="6">
        <v>8368.4615384615408</v>
      </c>
      <c r="U24" s="2"/>
      <c r="V24" s="7">
        <f t="shared" si="5"/>
        <v>0</v>
      </c>
      <c r="W24" s="2"/>
      <c r="X24" s="6">
        <f t="shared" si="6"/>
        <v>3323.4184615384584</v>
      </c>
      <c r="Y24" s="2"/>
      <c r="Z24" s="7">
        <f t="shared" si="7"/>
        <v>0.39713613383583002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300</v>
      </c>
      <c r="I25" s="2"/>
      <c r="J25" s="7">
        <f t="shared" si="1"/>
        <v>0</v>
      </c>
      <c r="K25" s="2"/>
      <c r="L25" s="6">
        <f t="shared" si="2"/>
        <v>-300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1500</v>
      </c>
      <c r="U25" s="2"/>
      <c r="V25" s="7">
        <f t="shared" si="5"/>
        <v>0</v>
      </c>
      <c r="W25" s="2"/>
      <c r="X25" s="6">
        <f t="shared" si="6"/>
        <v>-1500</v>
      </c>
      <c r="Y25" s="2"/>
      <c r="Z25" s="7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6">
        <v>164.4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164.4</v>
      </c>
      <c r="M26" s="2"/>
      <c r="N26" s="7">
        <f t="shared" si="3"/>
        <v>0</v>
      </c>
      <c r="O26" s="11"/>
      <c r="P26" s="6">
        <v>912.28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912.28</v>
      </c>
      <c r="Y26" s="2"/>
      <c r="Z26" s="7">
        <f t="shared" si="7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6">
        <v>1409.96</v>
      </c>
      <c r="E27" s="2"/>
      <c r="F27" s="7">
        <f t="shared" si="0"/>
        <v>0</v>
      </c>
      <c r="G27" s="2"/>
      <c r="H27" s="6">
        <v>1049.61538461538</v>
      </c>
      <c r="I27" s="2"/>
      <c r="J27" s="7">
        <f t="shared" si="1"/>
        <v>0</v>
      </c>
      <c r="K27" s="2"/>
      <c r="L27" s="6">
        <f t="shared" si="2"/>
        <v>360.34461538462006</v>
      </c>
      <c r="M27" s="2"/>
      <c r="N27" s="7">
        <f t="shared" si="3"/>
        <v>0.34331110296812617</v>
      </c>
      <c r="O27" s="11"/>
      <c r="P27" s="6">
        <v>8045.84</v>
      </c>
      <c r="Q27" s="2"/>
      <c r="R27" s="7">
        <f t="shared" si="4"/>
        <v>0</v>
      </c>
      <c r="S27" s="2"/>
      <c r="T27" s="6">
        <v>5800.3846153845998</v>
      </c>
      <c r="U27" s="2"/>
      <c r="V27" s="7">
        <f t="shared" si="5"/>
        <v>0</v>
      </c>
      <c r="W27" s="2"/>
      <c r="X27" s="6">
        <f t="shared" si="6"/>
        <v>2245.4553846154004</v>
      </c>
      <c r="Y27" s="2"/>
      <c r="Z27" s="7">
        <f t="shared" si="7"/>
        <v>0.38712180889861791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6">
        <v>921.55</v>
      </c>
      <c r="E28" s="2"/>
      <c r="F28" s="7">
        <f t="shared" si="0"/>
        <v>0</v>
      </c>
      <c r="G28" s="2"/>
      <c r="H28" s="6">
        <v>1049.61538461538</v>
      </c>
      <c r="I28" s="2"/>
      <c r="J28" s="7">
        <f t="shared" si="1"/>
        <v>0</v>
      </c>
      <c r="K28" s="2"/>
      <c r="L28" s="6">
        <f t="shared" si="2"/>
        <v>-128.06538461538003</v>
      </c>
      <c r="M28" s="2"/>
      <c r="N28" s="7">
        <f t="shared" si="3"/>
        <v>-0.12201172590692178</v>
      </c>
      <c r="O28" s="11"/>
      <c r="P28" s="6">
        <v>5417.23</v>
      </c>
      <c r="Q28" s="2"/>
      <c r="R28" s="7">
        <f t="shared" si="4"/>
        <v>0</v>
      </c>
      <c r="S28" s="2"/>
      <c r="T28" s="6">
        <v>5800.3846153845998</v>
      </c>
      <c r="U28" s="2"/>
      <c r="V28" s="7">
        <f t="shared" si="5"/>
        <v>0</v>
      </c>
      <c r="W28" s="2"/>
      <c r="X28" s="6">
        <f t="shared" si="6"/>
        <v>-383.15461538460022</v>
      </c>
      <c r="Y28" s="2"/>
      <c r="Z28" s="7">
        <f t="shared" si="7"/>
        <v>-6.6056760161790545E-2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6">
        <v>125.74</v>
      </c>
      <c r="E29" s="2"/>
      <c r="F29" s="7">
        <f t="shared" si="0"/>
        <v>0</v>
      </c>
      <c r="G29" s="2"/>
      <c r="H29" s="6">
        <v>600</v>
      </c>
      <c r="I29" s="2"/>
      <c r="J29" s="7">
        <f t="shared" si="1"/>
        <v>0</v>
      </c>
      <c r="K29" s="2"/>
      <c r="L29" s="6">
        <f t="shared" si="2"/>
        <v>-474.26</v>
      </c>
      <c r="M29" s="2"/>
      <c r="N29" s="7">
        <f t="shared" si="3"/>
        <v>-0.79043333333333332</v>
      </c>
      <c r="O29" s="11"/>
      <c r="P29" s="6">
        <v>1185.98</v>
      </c>
      <c r="Q29" s="2"/>
      <c r="R29" s="7">
        <f t="shared" si="4"/>
        <v>0</v>
      </c>
      <c r="S29" s="2"/>
      <c r="T29" s="6">
        <v>3000</v>
      </c>
      <c r="U29" s="2"/>
      <c r="V29" s="7">
        <f t="shared" si="5"/>
        <v>0</v>
      </c>
      <c r="W29" s="2"/>
      <c r="X29" s="6">
        <f t="shared" si="6"/>
        <v>-1814.02</v>
      </c>
      <c r="Y29" s="2"/>
      <c r="Z29" s="7">
        <f t="shared" si="7"/>
        <v>-0.60467333333333328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17857.12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-1035.9569230769011</v>
      </c>
      <c r="M30" s="1"/>
      <c r="N30" s="5">
        <f t="shared" ref="N30:N40" si="11">IF(H30=0,0,L30/H30)</f>
        <v>-5.4832620821626689E-2</v>
      </c>
      <c r="O30" s="14"/>
      <c r="P30" s="1">
        <f>SUM(OSRRefP22_1x_0)</f>
        <v>107318.55</v>
      </c>
      <c r="Q30" s="1"/>
      <c r="R30" s="5">
        <f t="shared" ref="R30:R40" si="12">IF(P$12=0,0,P30/P$12)</f>
        <v>0</v>
      </c>
      <c r="S30" s="1"/>
      <c r="T30" s="1">
        <f>SUM(OSRRefT22_1x_0)</f>
        <v>109406.92307692309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-2088.3730769230897</v>
      </c>
      <c r="Y30" s="1"/>
      <c r="Z30" s="5">
        <f t="shared" ref="Z30:Z40" si="15">IF(T30=0,0,X30/T30)</f>
        <v>-1.9088125487769836E-2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>
        <v>16254.92</v>
      </c>
      <c r="E32" s="2"/>
      <c r="F32" s="7">
        <f t="shared" si="8"/>
        <v>0</v>
      </c>
      <c r="G32" s="2"/>
      <c r="H32" s="6">
        <v>15923.0769230769</v>
      </c>
      <c r="I32" s="2"/>
      <c r="J32" s="7">
        <f t="shared" si="9"/>
        <v>0</v>
      </c>
      <c r="K32" s="2"/>
      <c r="L32" s="6">
        <f t="shared" si="10"/>
        <v>331.84307692309994</v>
      </c>
      <c r="M32" s="2"/>
      <c r="N32" s="7">
        <f t="shared" si="11"/>
        <v>2.0840386473431428E-2</v>
      </c>
      <c r="O32" s="11"/>
      <c r="P32" s="6">
        <v>93105.31</v>
      </c>
      <c r="Q32" s="2"/>
      <c r="R32" s="7">
        <f t="shared" si="12"/>
        <v>0</v>
      </c>
      <c r="S32" s="2"/>
      <c r="T32" s="6">
        <v>87576.923076923093</v>
      </c>
      <c r="U32" s="2"/>
      <c r="V32" s="7">
        <f t="shared" si="13"/>
        <v>0</v>
      </c>
      <c r="W32" s="2"/>
      <c r="X32" s="6">
        <f t="shared" si="14"/>
        <v>5528.3869230769051</v>
      </c>
      <c r="Y32" s="2"/>
      <c r="Z32" s="7">
        <f t="shared" si="15"/>
        <v>6.3126069389547429E-2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>
        <v>1602.2</v>
      </c>
      <c r="E34" s="2"/>
      <c r="F34" s="7">
        <f t="shared" si="8"/>
        <v>0</v>
      </c>
      <c r="G34" s="2"/>
      <c r="H34" s="6">
        <v>2970</v>
      </c>
      <c r="I34" s="2"/>
      <c r="J34" s="7">
        <f t="shared" si="9"/>
        <v>0</v>
      </c>
      <c r="K34" s="2"/>
      <c r="L34" s="6">
        <f t="shared" si="10"/>
        <v>-1367.8</v>
      </c>
      <c r="M34" s="2"/>
      <c r="N34" s="7">
        <f t="shared" si="11"/>
        <v>-0.46053872053872053</v>
      </c>
      <c r="O34" s="11"/>
      <c r="P34" s="6">
        <v>14213.24</v>
      </c>
      <c r="Q34" s="2"/>
      <c r="R34" s="7">
        <f t="shared" si="12"/>
        <v>0</v>
      </c>
      <c r="S34" s="2"/>
      <c r="T34" s="6">
        <v>21830</v>
      </c>
      <c r="U34" s="2"/>
      <c r="V34" s="7">
        <f t="shared" si="13"/>
        <v>0</v>
      </c>
      <c r="W34" s="2"/>
      <c r="X34" s="6">
        <f t="shared" si="14"/>
        <v>-7616.76</v>
      </c>
      <c r="Y34" s="2"/>
      <c r="Z34" s="7">
        <f t="shared" si="15"/>
        <v>-0.34891250572606508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100</v>
      </c>
      <c r="U42" s="2"/>
      <c r="V42" s="7">
        <f t="shared" si="21"/>
        <v>0</v>
      </c>
      <c r="W42" s="2"/>
      <c r="X42" s="6">
        <f t="shared" si="22"/>
        <v>-100</v>
      </c>
      <c r="Y42" s="2"/>
      <c r="Z42" s="7">
        <f t="shared" si="23"/>
        <v>-1</v>
      </c>
    </row>
    <row r="43" spans="1:26" s="29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5077.13</v>
      </c>
      <c r="E43" s="1"/>
      <c r="F43" s="5">
        <f t="shared" si="16"/>
        <v>0</v>
      </c>
      <c r="G43" s="1"/>
      <c r="H43" s="1">
        <f>SUM(OSRRefH22_3x_0)</f>
        <v>5077</v>
      </c>
      <c r="I43" s="1"/>
      <c r="J43" s="5">
        <f t="shared" si="17"/>
        <v>0</v>
      </c>
      <c r="K43" s="1"/>
      <c r="L43" s="1">
        <f t="shared" si="18"/>
        <v>0.13000000000010914</v>
      </c>
      <c r="M43" s="1"/>
      <c r="N43" s="5">
        <f t="shared" si="19"/>
        <v>2.5605672641345112E-5</v>
      </c>
      <c r="O43" s="14"/>
      <c r="P43" s="1">
        <f>SUM(OSRRefP22_3x_0)</f>
        <v>26540.670000000002</v>
      </c>
      <c r="Q43" s="1"/>
      <c r="R43" s="5">
        <f t="shared" si="20"/>
        <v>0</v>
      </c>
      <c r="S43" s="1"/>
      <c r="T43" s="1">
        <f>SUM(OSRRefT22_3x_0)</f>
        <v>21278</v>
      </c>
      <c r="U43" s="1"/>
      <c r="V43" s="5">
        <f t="shared" si="21"/>
        <v>0</v>
      </c>
      <c r="W43" s="1"/>
      <c r="X43" s="1">
        <f t="shared" si="22"/>
        <v>5262.6700000000019</v>
      </c>
      <c r="Y43" s="1"/>
      <c r="Z43" s="5">
        <f t="shared" si="23"/>
        <v>0.24732916627502594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5077.13</v>
      </c>
      <c r="E44" s="2"/>
      <c r="F44" s="7">
        <f t="shared" si="16"/>
        <v>0</v>
      </c>
      <c r="G44" s="2"/>
      <c r="H44" s="6">
        <v>5077</v>
      </c>
      <c r="I44" s="2"/>
      <c r="J44" s="7">
        <f t="shared" si="17"/>
        <v>0</v>
      </c>
      <c r="K44" s="2"/>
      <c r="L44" s="6">
        <f t="shared" si="18"/>
        <v>0.13000000000010914</v>
      </c>
      <c r="M44" s="2"/>
      <c r="N44" s="7">
        <f t="shared" si="19"/>
        <v>2.5605672641345112E-5</v>
      </c>
      <c r="O44" s="11"/>
      <c r="P44" s="6">
        <v>26540.670000000002</v>
      </c>
      <c r="Q44" s="2"/>
      <c r="R44" s="7">
        <f t="shared" si="20"/>
        <v>0</v>
      </c>
      <c r="S44" s="2"/>
      <c r="T44" s="6">
        <v>21178</v>
      </c>
      <c r="U44" s="2"/>
      <c r="V44" s="7">
        <f t="shared" si="21"/>
        <v>0</v>
      </c>
      <c r="W44" s="2"/>
      <c r="X44" s="6">
        <f t="shared" si="22"/>
        <v>5362.6700000000019</v>
      </c>
      <c r="Y44" s="2"/>
      <c r="Z44" s="7">
        <f t="shared" si="23"/>
        <v>0.25321890641231476</v>
      </c>
    </row>
    <row r="45" spans="1:26" s="24" customFormat="1" hidden="1" outlineLevel="2" x14ac:dyDescent="0.25">
      <c r="A45" s="28"/>
      <c r="B45" s="11" t="str">
        <f>CONCATENATE("          ", "6324", " - ", "FURNITURE + FIXT DEPRECIATION")</f>
        <v xml:space="preserve">          6324 - FURNITURE + FIXT DEPRECIATION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100</v>
      </c>
      <c r="U45" s="2"/>
      <c r="V45" s="7">
        <f t="shared" si="21"/>
        <v>0</v>
      </c>
      <c r="W45" s="2"/>
      <c r="X45" s="6">
        <f t="shared" si="22"/>
        <v>-100</v>
      </c>
      <c r="Y45" s="2"/>
      <c r="Z45" s="7">
        <f t="shared" si="23"/>
        <v>-1</v>
      </c>
    </row>
    <row r="46" spans="1:26" s="29" customFormat="1" outlineLevel="1" collapsed="1" x14ac:dyDescent="0.25">
      <c r="A46" s="27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SUM(OSRRefD22_4x_0)</f>
        <v>5.7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5.7</v>
      </c>
      <c r="M46" s="1"/>
      <c r="N46" s="5">
        <f t="shared" ref="N46:N55" si="27">IF(H46=0,0,L46/H46)</f>
        <v>0</v>
      </c>
      <c r="O46" s="14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8"/>
      <c r="B47" s="11" t="str">
        <f>CONCATENATE("          ", "6307", " - ", "POSTAGE")</f>
        <v xml:space="preserve">          6307 - POSTAGE</v>
      </c>
      <c r="C47" s="11"/>
      <c r="D47" s="6">
        <v>5.7</v>
      </c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5.7</v>
      </c>
      <c r="M47" s="2"/>
      <c r="N47" s="7">
        <f t="shared" si="27"/>
        <v>0</v>
      </c>
      <c r="O47" s="11"/>
      <c r="P47" s="6">
        <v>5.7</v>
      </c>
      <c r="Q47" s="2"/>
      <c r="R47" s="7">
        <f t="shared" si="28"/>
        <v>0</v>
      </c>
      <c r="S47" s="2"/>
      <c r="T47" s="6"/>
      <c r="U47" s="2"/>
      <c r="V47" s="7">
        <f t="shared" si="29"/>
        <v>0</v>
      </c>
      <c r="W47" s="2"/>
      <c r="X47" s="6">
        <f t="shared" si="30"/>
        <v>5.7</v>
      </c>
      <c r="Y47" s="2"/>
      <c r="Z47" s="7">
        <f t="shared" si="31"/>
        <v>0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500</v>
      </c>
      <c r="U49" s="2"/>
      <c r="V49" s="7">
        <f t="shared" si="29"/>
        <v>0</v>
      </c>
      <c r="W49" s="2"/>
      <c r="X49" s="6">
        <f t="shared" si="30"/>
        <v>-500</v>
      </c>
      <c r="Y49" s="2"/>
      <c r="Z49" s="7">
        <f t="shared" si="31"/>
        <v>-1</v>
      </c>
    </row>
    <row r="50" spans="1:26" s="29" customFormat="1" outlineLevel="1" collapsed="1" x14ac:dyDescent="0.2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4"/>
      <c r="P50" s="1">
        <f>SUM(OSRRefP22_6x_0)</f>
        <v>281.7</v>
      </c>
      <c r="Q50" s="1"/>
      <c r="R50" s="5">
        <f t="shared" si="28"/>
        <v>0</v>
      </c>
      <c r="S50" s="1"/>
      <c r="T50" s="1">
        <f>SUM(OSRRefT22_6x_0)</f>
        <v>844</v>
      </c>
      <c r="U50" s="1"/>
      <c r="V50" s="5">
        <f t="shared" si="29"/>
        <v>0</v>
      </c>
      <c r="W50" s="1"/>
      <c r="X50" s="1">
        <f t="shared" si="30"/>
        <v>-562.29999999999995</v>
      </c>
      <c r="Y50" s="1"/>
      <c r="Z50" s="5">
        <f t="shared" si="31"/>
        <v>-0.66623222748815158</v>
      </c>
    </row>
    <row r="51" spans="1:26" s="24" customFormat="1" hidden="1" outlineLevel="2" x14ac:dyDescent="0.25">
      <c r="A51" s="28"/>
      <c r="B51" s="11" t="str">
        <f>CONCATENATE("          ", "6314", " - ", "LIABILITY INSURANCE")</f>
        <v xml:space="preserve">          6314 - LIABILITY INSURANCE</v>
      </c>
      <c r="C51" s="11"/>
      <c r="D51" s="6">
        <v>56.34</v>
      </c>
      <c r="E51" s="2"/>
      <c r="F51" s="7">
        <f t="shared" si="24"/>
        <v>0</v>
      </c>
      <c r="G51" s="2"/>
      <c r="H51" s="6">
        <v>61</v>
      </c>
      <c r="I51" s="2"/>
      <c r="J51" s="7">
        <f t="shared" si="25"/>
        <v>0</v>
      </c>
      <c r="K51" s="2"/>
      <c r="L51" s="6">
        <f t="shared" si="26"/>
        <v>-4.6599999999999966</v>
      </c>
      <c r="M51" s="2"/>
      <c r="N51" s="7">
        <f t="shared" si="27"/>
        <v>-7.6393442622950766E-2</v>
      </c>
      <c r="O51" s="11"/>
      <c r="P51" s="6">
        <v>281.7</v>
      </c>
      <c r="Q51" s="2"/>
      <c r="R51" s="7">
        <f t="shared" si="28"/>
        <v>0</v>
      </c>
      <c r="S51" s="2"/>
      <c r="T51" s="6">
        <v>844</v>
      </c>
      <c r="U51" s="2"/>
      <c r="V51" s="7">
        <f t="shared" si="29"/>
        <v>0</v>
      </c>
      <c r="W51" s="2"/>
      <c r="X51" s="6">
        <f t="shared" si="30"/>
        <v>-562.29999999999995</v>
      </c>
      <c r="Y51" s="2"/>
      <c r="Z51" s="7">
        <f t="shared" si="31"/>
        <v>-0.66623222748815158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11992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-2918</v>
      </c>
      <c r="M52" s="1"/>
      <c r="N52" s="5">
        <f t="shared" si="27"/>
        <v>-0.19570757880617035</v>
      </c>
      <c r="O52" s="14"/>
      <c r="P52" s="1">
        <f>SUM(OSRRefP22_7x_0)</f>
        <v>60596.160000000003</v>
      </c>
      <c r="Q52" s="1"/>
      <c r="R52" s="5">
        <f t="shared" si="28"/>
        <v>0</v>
      </c>
      <c r="S52" s="1"/>
      <c r="T52" s="1">
        <f>SUM(OSRRefT22_7x_0)</f>
        <v>62100</v>
      </c>
      <c r="U52" s="1"/>
      <c r="V52" s="5">
        <f t="shared" si="29"/>
        <v>0</v>
      </c>
      <c r="W52" s="1"/>
      <c r="X52" s="1">
        <f t="shared" si="30"/>
        <v>-1503.8399999999965</v>
      </c>
      <c r="Y52" s="1"/>
      <c r="Z52" s="5">
        <f t="shared" si="31"/>
        <v>-2.4216425120772891E-2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4"/>
        <v>0</v>
      </c>
      <c r="G53" s="2"/>
      <c r="H53" s="6">
        <v>660</v>
      </c>
      <c r="I53" s="2"/>
      <c r="J53" s="7">
        <f t="shared" si="25"/>
        <v>0</v>
      </c>
      <c r="K53" s="2"/>
      <c r="L53" s="6">
        <f t="shared" si="26"/>
        <v>-660</v>
      </c>
      <c r="M53" s="2"/>
      <c r="N53" s="7">
        <f t="shared" si="27"/>
        <v>-1</v>
      </c>
      <c r="O53" s="11"/>
      <c r="P53" s="6">
        <v>2436.16</v>
      </c>
      <c r="Q53" s="2"/>
      <c r="R53" s="7">
        <f t="shared" si="28"/>
        <v>0</v>
      </c>
      <c r="S53" s="2"/>
      <c r="T53" s="6">
        <v>3300</v>
      </c>
      <c r="U53" s="2"/>
      <c r="V53" s="7">
        <f t="shared" si="29"/>
        <v>0</v>
      </c>
      <c r="W53" s="2"/>
      <c r="X53" s="6">
        <f t="shared" si="30"/>
        <v>-863.84000000000015</v>
      </c>
      <c r="Y53" s="2"/>
      <c r="Z53" s="7">
        <f t="shared" si="31"/>
        <v>-0.26176969696969704</v>
      </c>
    </row>
    <row r="54" spans="1:26" s="24" customFormat="1" hidden="1" outlineLevel="2" x14ac:dyDescent="0.25">
      <c r="A54" s="28"/>
      <c r="B54" s="11" t="str">
        <f>CONCATENATE("          ", "6372", " - ", "COMPUTER HARDWARE MAINTENANCE")</f>
        <v xml:space="preserve">          6372 - COMPUTER HARDWARE MAINTENANCE</v>
      </c>
      <c r="C54" s="11"/>
      <c r="D54" s="6"/>
      <c r="E54" s="2"/>
      <c r="F54" s="7">
        <f t="shared" si="24"/>
        <v>0</v>
      </c>
      <c r="G54" s="2"/>
      <c r="H54" s="6">
        <v>1600</v>
      </c>
      <c r="I54" s="2"/>
      <c r="J54" s="7">
        <f t="shared" si="25"/>
        <v>0</v>
      </c>
      <c r="K54" s="2"/>
      <c r="L54" s="6">
        <f t="shared" si="26"/>
        <v>-1600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8000</v>
      </c>
      <c r="U54" s="2"/>
      <c r="V54" s="7">
        <f t="shared" si="29"/>
        <v>0</v>
      </c>
      <c r="W54" s="2"/>
      <c r="X54" s="6">
        <f t="shared" si="30"/>
        <v>-8000</v>
      </c>
      <c r="Y54" s="2"/>
      <c r="Z54" s="7">
        <f t="shared" si="31"/>
        <v>-1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>
        <v>11992</v>
      </c>
      <c r="E55" s="2"/>
      <c r="F55" s="7">
        <f t="shared" si="24"/>
        <v>0</v>
      </c>
      <c r="G55" s="2"/>
      <c r="H55" s="6">
        <v>12650</v>
      </c>
      <c r="I55" s="2"/>
      <c r="J55" s="7">
        <f t="shared" si="25"/>
        <v>0</v>
      </c>
      <c r="K55" s="2"/>
      <c r="L55" s="6">
        <f t="shared" si="26"/>
        <v>-658</v>
      </c>
      <c r="M55" s="2"/>
      <c r="N55" s="7">
        <f t="shared" si="27"/>
        <v>-5.2015810276679841E-2</v>
      </c>
      <c r="O55" s="11"/>
      <c r="P55" s="6">
        <v>58160</v>
      </c>
      <c r="Q55" s="2"/>
      <c r="R55" s="7">
        <f t="shared" si="28"/>
        <v>0</v>
      </c>
      <c r="S55" s="2"/>
      <c r="T55" s="6">
        <v>50800</v>
      </c>
      <c r="U55" s="2"/>
      <c r="V55" s="7">
        <f t="shared" si="29"/>
        <v>0</v>
      </c>
      <c r="W55" s="2"/>
      <c r="X55" s="6">
        <f t="shared" si="30"/>
        <v>7360</v>
      </c>
      <c r="Y55" s="2"/>
      <c r="Z55" s="7">
        <f t="shared" si="31"/>
        <v>0.14488188976377953</v>
      </c>
    </row>
    <row r="56" spans="1:26" s="29" customFormat="1" outlineLevel="1" collapsed="1" x14ac:dyDescent="0.25">
      <c r="A56" s="27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4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1400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-1400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8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900</v>
      </c>
      <c r="U57" s="2"/>
      <c r="V57" s="7">
        <f t="shared" si="37"/>
        <v>0</v>
      </c>
      <c r="W57" s="2"/>
      <c r="X57" s="6">
        <f t="shared" si="38"/>
        <v>-900</v>
      </c>
      <c r="Y57" s="2"/>
      <c r="Z57" s="7">
        <f t="shared" si="39"/>
        <v>-1</v>
      </c>
    </row>
    <row r="58" spans="1:26" s="24" customFormat="1" hidden="1" outlineLevel="2" x14ac:dyDescent="0.25">
      <c r="A58" s="28"/>
      <c r="B58" s="11" t="str">
        <f>CONCATENATE("          ", "6275", " - ", "SUBSCRIPTIONS")</f>
        <v xml:space="preserve">          6275 - SUBSCRIPTIONS</v>
      </c>
      <c r="C58" s="11"/>
      <c r="D58" s="6"/>
      <c r="E58" s="2"/>
      <c r="F58" s="7">
        <f t="shared" si="32"/>
        <v>0</v>
      </c>
      <c r="G58" s="2"/>
      <c r="H58" s="6">
        <v>100</v>
      </c>
      <c r="I58" s="2"/>
      <c r="J58" s="7">
        <f t="shared" si="33"/>
        <v>0</v>
      </c>
      <c r="K58" s="2"/>
      <c r="L58" s="6">
        <f t="shared" si="34"/>
        <v>-100</v>
      </c>
      <c r="M58" s="2"/>
      <c r="N58" s="7">
        <f t="shared" si="35"/>
        <v>-1</v>
      </c>
      <c r="O58" s="11"/>
      <c r="P58" s="6"/>
      <c r="Q58" s="2"/>
      <c r="R58" s="7">
        <f t="shared" si="36"/>
        <v>0</v>
      </c>
      <c r="S58" s="2"/>
      <c r="T58" s="6">
        <v>500</v>
      </c>
      <c r="U58" s="2"/>
      <c r="V58" s="7">
        <f t="shared" si="37"/>
        <v>0</v>
      </c>
      <c r="W58" s="2"/>
      <c r="X58" s="6">
        <f t="shared" si="38"/>
        <v>-500</v>
      </c>
      <c r="Y58" s="2"/>
      <c r="Z58" s="7">
        <f t="shared" si="39"/>
        <v>-1</v>
      </c>
    </row>
    <row r="59" spans="1:26" s="29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1437.24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1137.24</v>
      </c>
      <c r="M59" s="1"/>
      <c r="N59" s="5">
        <f t="shared" ref="N59:N63" si="43">IF(H59=0,0,L59/H59)</f>
        <v>3.7907999999999999</v>
      </c>
      <c r="O59" s="14"/>
      <c r="P59" s="1">
        <f>SUM(OSRRefP22_9x_0)</f>
        <v>-3004.18</v>
      </c>
      <c r="Q59" s="1"/>
      <c r="R59" s="5">
        <f t="shared" ref="R59:R63" si="44">IF(P$12=0,0,P59/P$12)</f>
        <v>0</v>
      </c>
      <c r="S59" s="1"/>
      <c r="T59" s="1">
        <f>SUM(OSRRefT22_9x_0)</f>
        <v>1500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-4504.18</v>
      </c>
      <c r="Y59" s="1"/>
      <c r="Z59" s="5">
        <f t="shared" ref="Z59:Z63" si="47">IF(T59=0,0,X59/T59)</f>
        <v>-3.0027866666666667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6">
        <v>1437.24</v>
      </c>
      <c r="E60" s="2"/>
      <c r="F60" s="7">
        <f t="shared" si="40"/>
        <v>0</v>
      </c>
      <c r="G60" s="2"/>
      <c r="H60" s="6">
        <v>300</v>
      </c>
      <c r="I60" s="2"/>
      <c r="J60" s="7">
        <f t="shared" si="41"/>
        <v>0</v>
      </c>
      <c r="K60" s="2"/>
      <c r="L60" s="6">
        <f t="shared" si="42"/>
        <v>1137.24</v>
      </c>
      <c r="M60" s="2"/>
      <c r="N60" s="7">
        <f t="shared" si="43"/>
        <v>3.7907999999999999</v>
      </c>
      <c r="O60" s="11"/>
      <c r="P60" s="6">
        <v>-3004.18</v>
      </c>
      <c r="Q60" s="2"/>
      <c r="R60" s="7">
        <f t="shared" si="44"/>
        <v>0</v>
      </c>
      <c r="S60" s="2"/>
      <c r="T60" s="6">
        <v>1500</v>
      </c>
      <c r="U60" s="2"/>
      <c r="V60" s="7">
        <f t="shared" si="45"/>
        <v>0</v>
      </c>
      <c r="W60" s="2"/>
      <c r="X60" s="6">
        <f t="shared" si="46"/>
        <v>-4504.18</v>
      </c>
      <c r="Y60" s="2"/>
      <c r="Z60" s="7">
        <f t="shared" si="47"/>
        <v>-3.0027866666666667</v>
      </c>
    </row>
    <row r="61" spans="1:26" s="29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783.93000000000006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388.93000000000006</v>
      </c>
      <c r="M61" s="1"/>
      <c r="N61" s="5">
        <f t="shared" si="43"/>
        <v>0.98463291139240527</v>
      </c>
      <c r="O61" s="14"/>
      <c r="P61" s="1">
        <f>SUM(OSRRefP22_10x_0)</f>
        <v>4150.41</v>
      </c>
      <c r="Q61" s="1"/>
      <c r="R61" s="5">
        <f t="shared" si="44"/>
        <v>0</v>
      </c>
      <c r="S61" s="1"/>
      <c r="T61" s="1">
        <f>SUM(OSRRefT22_10x_0)</f>
        <v>1975</v>
      </c>
      <c r="U61" s="1"/>
      <c r="V61" s="5">
        <f t="shared" si="45"/>
        <v>0</v>
      </c>
      <c r="W61" s="1"/>
      <c r="X61" s="1">
        <f t="shared" si="46"/>
        <v>2175.41</v>
      </c>
      <c r="Y61" s="1"/>
      <c r="Z61" s="5">
        <f t="shared" si="47"/>
        <v>1.1014734177215189</v>
      </c>
    </row>
    <row r="62" spans="1:26" s="24" customFormat="1" hidden="1" outlineLevel="2" x14ac:dyDescent="0.25">
      <c r="A62" s="28"/>
      <c r="B62" s="11" t="str">
        <f>CONCATENATE("          ", "6303", " - ", "DATA PHONE LINES")</f>
        <v xml:space="preserve">          6303 - DATA PHONE LINES</v>
      </c>
      <c r="C62" s="11"/>
      <c r="D62" s="6">
        <v>144.97999999999999</v>
      </c>
      <c r="E62" s="2"/>
      <c r="F62" s="7">
        <f t="shared" si="40"/>
        <v>0</v>
      </c>
      <c r="G62" s="2"/>
      <c r="H62" s="6">
        <v>335</v>
      </c>
      <c r="I62" s="2"/>
      <c r="J62" s="7">
        <f t="shared" si="41"/>
        <v>0</v>
      </c>
      <c r="K62" s="2"/>
      <c r="L62" s="6">
        <f t="shared" si="42"/>
        <v>-190.02</v>
      </c>
      <c r="M62" s="2"/>
      <c r="N62" s="7">
        <f t="shared" si="43"/>
        <v>-0.56722388059701501</v>
      </c>
      <c r="O62" s="11"/>
      <c r="P62" s="6">
        <v>525.92999999999995</v>
      </c>
      <c r="Q62" s="2"/>
      <c r="R62" s="7">
        <f t="shared" si="44"/>
        <v>0</v>
      </c>
      <c r="S62" s="2"/>
      <c r="T62" s="6">
        <v>1675</v>
      </c>
      <c r="U62" s="2"/>
      <c r="V62" s="7">
        <f t="shared" si="45"/>
        <v>0</v>
      </c>
      <c r="W62" s="2"/>
      <c r="X62" s="6">
        <f t="shared" si="46"/>
        <v>-1149.0700000000002</v>
      </c>
      <c r="Y62" s="2"/>
      <c r="Z62" s="7">
        <f t="shared" si="47"/>
        <v>-0.68601194029850754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6">
        <v>638.95000000000005</v>
      </c>
      <c r="E63" s="2"/>
      <c r="F63" s="7">
        <f t="shared" si="40"/>
        <v>0</v>
      </c>
      <c r="G63" s="2"/>
      <c r="H63" s="6">
        <v>60</v>
      </c>
      <c r="I63" s="2"/>
      <c r="J63" s="7">
        <f t="shared" si="41"/>
        <v>0</v>
      </c>
      <c r="K63" s="2"/>
      <c r="L63" s="6">
        <f t="shared" si="42"/>
        <v>578.95000000000005</v>
      </c>
      <c r="M63" s="2"/>
      <c r="N63" s="7">
        <f t="shared" si="43"/>
        <v>9.6491666666666678</v>
      </c>
      <c r="O63" s="11"/>
      <c r="P63" s="6">
        <v>3624.48</v>
      </c>
      <c r="Q63" s="2"/>
      <c r="R63" s="7">
        <f t="shared" si="44"/>
        <v>0</v>
      </c>
      <c r="S63" s="2"/>
      <c r="T63" s="6">
        <v>300</v>
      </c>
      <c r="U63" s="2"/>
      <c r="V63" s="7">
        <f t="shared" si="45"/>
        <v>0</v>
      </c>
      <c r="W63" s="2"/>
      <c r="X63" s="6">
        <f t="shared" si="46"/>
        <v>3324.48</v>
      </c>
      <c r="Y63" s="2"/>
      <c r="Z63" s="7">
        <f t="shared" si="47"/>
        <v>11.0816</v>
      </c>
    </row>
    <row r="64" spans="1:26" s="29" customFormat="1" outlineLevel="1" collapsed="1" x14ac:dyDescent="0.25">
      <c r="A64" s="27"/>
      <c r="B64" s="14" t="str">
        <f>CONCATENATE("     ","Travel                                            ")</f>
        <v xml:space="preserve">     Travel                                            </v>
      </c>
      <c r="C64" s="14"/>
      <c r="D64" s="1">
        <f>SUM(OSRRefD22_11x_0)</f>
        <v>0</v>
      </c>
      <c r="E64" s="1"/>
      <c r="F64" s="5">
        <f t="shared" ref="F64:F65" si="48">IF(D$12=0,0,D64/D$12)</f>
        <v>0</v>
      </c>
      <c r="G64" s="1"/>
      <c r="H64" s="1">
        <f>SUM(OSRRefH22_11x_0)</f>
        <v>625</v>
      </c>
      <c r="I64" s="1"/>
      <c r="J64" s="5">
        <f t="shared" ref="J64:J65" si="49">IF(H$12=0,0,H64/H$12)</f>
        <v>0</v>
      </c>
      <c r="K64" s="1"/>
      <c r="L64" s="1">
        <f t="shared" ref="L64:L65" si="50">+D64-H64</f>
        <v>-625</v>
      </c>
      <c r="M64" s="1"/>
      <c r="N64" s="5">
        <f t="shared" ref="N64:N65" si="51">IF(H64=0,0,L64/H64)</f>
        <v>-1</v>
      </c>
      <c r="O64" s="14"/>
      <c r="P64" s="1">
        <f>SUM(OSRRefP22_11x_0)</f>
        <v>0</v>
      </c>
      <c r="Q64" s="1"/>
      <c r="R64" s="5">
        <f t="shared" ref="R64:R65" si="52">IF(P$12=0,0,P64/P$12)</f>
        <v>0</v>
      </c>
      <c r="S64" s="1"/>
      <c r="T64" s="1">
        <f>SUM(OSRRefT22_11x_0)</f>
        <v>3125</v>
      </c>
      <c r="U64" s="1"/>
      <c r="V64" s="5">
        <f t="shared" ref="V64:V65" si="53">IF(T$12=0,0,T64/T$12)</f>
        <v>0</v>
      </c>
      <c r="W64" s="1"/>
      <c r="X64" s="1">
        <f t="shared" ref="X64:X65" si="54">+P64-T64</f>
        <v>-3125</v>
      </c>
      <c r="Y64" s="1"/>
      <c r="Z64" s="5">
        <f t="shared" ref="Z64:Z65" si="55">IF(T64=0,0,X64/T64)</f>
        <v>-1</v>
      </c>
    </row>
    <row r="65" spans="1:26" s="24" customFormat="1" hidden="1" outlineLevel="2" x14ac:dyDescent="0.25">
      <c r="A65" s="28"/>
      <c r="B65" s="11" t="str">
        <f>CONCATENATE("          ", "6292", " - ", "TRAVEL/CONFERENCE")</f>
        <v xml:space="preserve">          6292 - TRAVEL/CONFERENCE</v>
      </c>
      <c r="C65" s="11"/>
      <c r="D65" s="6"/>
      <c r="E65" s="2"/>
      <c r="F65" s="7">
        <f t="shared" si="48"/>
        <v>0</v>
      </c>
      <c r="G65" s="2"/>
      <c r="H65" s="6">
        <v>625</v>
      </c>
      <c r="I65" s="2"/>
      <c r="J65" s="7">
        <f t="shared" si="49"/>
        <v>0</v>
      </c>
      <c r="K65" s="2"/>
      <c r="L65" s="6">
        <f t="shared" si="50"/>
        <v>-625</v>
      </c>
      <c r="M65" s="2"/>
      <c r="N65" s="7">
        <f t="shared" si="51"/>
        <v>-1</v>
      </c>
      <c r="O65" s="11"/>
      <c r="P65" s="6"/>
      <c r="Q65" s="2"/>
      <c r="R65" s="7">
        <f t="shared" si="52"/>
        <v>0</v>
      </c>
      <c r="S65" s="2"/>
      <c r="T65" s="6">
        <v>3125</v>
      </c>
      <c r="U65" s="2"/>
      <c r="V65" s="7">
        <f t="shared" si="53"/>
        <v>0</v>
      </c>
      <c r="W65" s="2"/>
      <c r="X65" s="6">
        <f t="shared" si="54"/>
        <v>-3125</v>
      </c>
      <c r="Y65" s="2"/>
      <c r="Z65" s="7">
        <f t="shared" si="55"/>
        <v>-1</v>
      </c>
    </row>
    <row r="66" spans="1:26" s="62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1">
        <f>+D16-D18+D67</f>
        <v>-50583.669999999991</v>
      </c>
      <c r="E69" s="13"/>
      <c r="F69" s="20">
        <f>IF(D$12=0,0,D69/D$12)</f>
        <v>0</v>
      </c>
      <c r="G69" s="13"/>
      <c r="H69" s="21">
        <f>+H16-H18+H67</f>
        <v>-51342.722846153818</v>
      </c>
      <c r="I69" s="13"/>
      <c r="J69" s="20">
        <f>IF(H$12=0,0,H69/H$12)</f>
        <v>0</v>
      </c>
      <c r="K69" s="16"/>
      <c r="L69" s="21">
        <f>+D69-H69</f>
        <v>759.05284615382698</v>
      </c>
      <c r="M69" s="16"/>
      <c r="N69" s="20">
        <f>IF(H69=0,0,L69/H69)</f>
        <v>-1.4784039569313357E-2</v>
      </c>
      <c r="O69" s="26"/>
      <c r="P69" s="21">
        <f>+P16-P18+P67</f>
        <v>-261691.25000000003</v>
      </c>
      <c r="Q69" s="13"/>
      <c r="R69" s="20">
        <f>IF(P$12=0,0,P69/P$12)</f>
        <v>0</v>
      </c>
      <c r="S69" s="13"/>
      <c r="T69" s="21">
        <f>+T16-T18+T67</f>
        <v>-262993.49099999998</v>
      </c>
      <c r="U69" s="13"/>
      <c r="V69" s="20">
        <f>IF(T$12=0,0,T69/T$12)</f>
        <v>0</v>
      </c>
      <c r="W69" s="16"/>
      <c r="X69" s="21">
        <f>+P69-T69</f>
        <v>1302.2409999999509</v>
      </c>
      <c r="Y69" s="16"/>
      <c r="Z69" s="20">
        <f>IF(T69=0,0,X69/T69)</f>
        <v>-4.9516092396368512E-3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/>
      <c r="E71" s="4"/>
      <c r="F71" s="12">
        <f>IF(D$12=0,0,D71/D$12)</f>
        <v>0</v>
      </c>
      <c r="G71" s="4"/>
      <c r="H71" s="4"/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/>
      <c r="Q71" s="4"/>
      <c r="R71" s="12">
        <f>IF(P$12=0,0,P71/P$12)</f>
        <v>0</v>
      </c>
      <c r="S71" s="4"/>
      <c r="T71" s="4"/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1">
        <f>+D69-D71</f>
        <v>-50583.669999999991</v>
      </c>
      <c r="E73" s="13"/>
      <c r="F73" s="34">
        <f>IF(D$12=0,0,D73/D$12)</f>
        <v>0</v>
      </c>
      <c r="G73" s="13"/>
      <c r="H73" s="31">
        <f>+H69-H71</f>
        <v>-51342.722846153818</v>
      </c>
      <c r="I73" s="13"/>
      <c r="J73" s="34">
        <f>IF(H$12=0,0,H73/H$12)</f>
        <v>0</v>
      </c>
      <c r="K73" s="16"/>
      <c r="L73" s="31">
        <f>D73-H73</f>
        <v>759.05284615382698</v>
      </c>
      <c r="M73" s="16"/>
      <c r="N73" s="34">
        <f>IF(H73=0,0,L73/H73)</f>
        <v>-1.4784039569313357E-2</v>
      </c>
      <c r="O73" s="26"/>
      <c r="P73" s="31">
        <f>+P69-P71</f>
        <v>-261691.25000000003</v>
      </c>
      <c r="Q73" s="13"/>
      <c r="R73" s="34">
        <f>IF(P$12=0,0,P73/P$12)</f>
        <v>0</v>
      </c>
      <c r="S73" s="13"/>
      <c r="T73" s="31">
        <f>+T69-T71</f>
        <v>-262993.49099999998</v>
      </c>
      <c r="U73" s="13"/>
      <c r="V73" s="34">
        <f>IF(T$12=0,0,T73/T$12)</f>
        <v>0</v>
      </c>
      <c r="W73" s="16"/>
      <c r="X73" s="31">
        <f>P73-T73</f>
        <v>1302.2409999999509</v>
      </c>
      <c r="Y73" s="16"/>
      <c r="Z73" s="34">
        <f>IF(T73=0,0,X73/T73)</f>
        <v>-4.9516092396368512E-3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3">
        <f>SUM(D73:D75)</f>
        <v>-50583.669999999991</v>
      </c>
      <c r="E76" s="13"/>
      <c r="F76" s="30">
        <f>IF(D$12=0,0,D76/D$12)</f>
        <v>0</v>
      </c>
      <c r="G76" s="13"/>
      <c r="H76" s="33">
        <f>SUM(H73:H75)</f>
        <v>-51342.722846153818</v>
      </c>
      <c r="I76" s="13"/>
      <c r="J76" s="30">
        <f>IF(H$12=0,0,H76/H$12)</f>
        <v>0</v>
      </c>
      <c r="K76" s="16"/>
      <c r="L76" s="33">
        <f>+D76-H76</f>
        <v>759.05284615382698</v>
      </c>
      <c r="M76" s="16"/>
      <c r="N76" s="30">
        <f>IF(H76=0,0,L76/H76)</f>
        <v>-1.4784039569313357E-2</v>
      </c>
      <c r="O76" s="26"/>
      <c r="P76" s="33">
        <f>SUM(P73:P75)</f>
        <v>-261691.25000000003</v>
      </c>
      <c r="Q76" s="13"/>
      <c r="R76" s="30">
        <f>IF(P$12=0,0,P76/P$12)</f>
        <v>0</v>
      </c>
      <c r="S76" s="13"/>
      <c r="T76" s="33">
        <f>SUM(T73:T75)</f>
        <v>-262993.49099999998</v>
      </c>
      <c r="U76" s="13"/>
      <c r="V76" s="30">
        <f>IF(T$12=0,0,T76/T$12)</f>
        <v>0</v>
      </c>
      <c r="W76" s="16"/>
      <c r="X76" s="33">
        <f>+P76-T76</f>
        <v>1302.2409999999509</v>
      </c>
      <c r="Y76" s="16"/>
      <c r="Z76" s="30">
        <f>IF(T76=0,0,X76/T76)</f>
        <v>-4.9516092396368512E-3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5">
        <v>44174.679369444442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7" t="s">
        <v>314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6414.7800000000007</v>
      </c>
      <c r="E18" s="19"/>
      <c r="F18" s="35">
        <f t="shared" ref="F18:F28" si="0">IF(D$12=0,0,D18/D$12)</f>
        <v>0</v>
      </c>
      <c r="G18" s="19"/>
      <c r="H18" s="19">
        <f>SUM(OSRRefH22x_0)</f>
        <v>6990.2521538461542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-575.47215384615356</v>
      </c>
      <c r="M18" s="4"/>
      <c r="N18" s="35">
        <f t="shared" ref="N18:N28" si="3">IF(H18=0,0,L18/H18)</f>
        <v>-8.232494925515943E-2</v>
      </c>
      <c r="O18" s="10"/>
      <c r="P18" s="19">
        <f>SUM(OSRRefP22x_0)</f>
        <v>39867.550000000003</v>
      </c>
      <c r="Q18" s="19"/>
      <c r="R18" s="35">
        <f t="shared" ref="R18:R28" si="4">IF(P$12=0,0,P18/P$12)</f>
        <v>0</v>
      </c>
      <c r="S18" s="19"/>
      <c r="T18" s="19">
        <f>SUM(OSRRefT22x_0)</f>
        <v>43182.886846153851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-3315.3368461538485</v>
      </c>
      <c r="Y18" s="4"/>
      <c r="Z18" s="35">
        <f t="shared" ref="Z18:Z28" si="7">IF(T18=0,0,X18/T18)</f>
        <v>-7.6774321688248451E-2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2616.1999999999998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790.9478461538456</v>
      </c>
      <c r="M19" s="1"/>
      <c r="N19" s="5">
        <f t="shared" si="3"/>
        <v>0.43333620754106095</v>
      </c>
      <c r="O19" s="14"/>
      <c r="P19" s="1">
        <f>SUM(OSRRefP22_0x_0)</f>
        <v>12265.76</v>
      </c>
      <c r="Q19" s="1"/>
      <c r="R19" s="5">
        <f t="shared" si="4"/>
        <v>0</v>
      </c>
      <c r="S19" s="1"/>
      <c r="T19" s="1">
        <f>SUM(OSRRefT22_0x_0)</f>
        <v>10038.886846153848</v>
      </c>
      <c r="U19" s="1"/>
      <c r="V19" s="5">
        <f t="shared" si="5"/>
        <v>0</v>
      </c>
      <c r="W19" s="1"/>
      <c r="X19" s="1">
        <f t="shared" si="6"/>
        <v>2226.8731538461525</v>
      </c>
      <c r="Y19" s="1"/>
      <c r="Z19" s="5">
        <f t="shared" si="7"/>
        <v>0.2218247090512156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316.89999999999998</v>
      </c>
      <c r="E20" s="2"/>
      <c r="F20" s="7">
        <f t="shared" si="0"/>
        <v>0</v>
      </c>
      <c r="G20" s="2"/>
      <c r="H20" s="6">
        <v>321.42599999999999</v>
      </c>
      <c r="I20" s="2"/>
      <c r="J20" s="7">
        <f t="shared" si="1"/>
        <v>0</v>
      </c>
      <c r="K20" s="2"/>
      <c r="L20" s="6">
        <f t="shared" si="2"/>
        <v>-4.5260000000000105</v>
      </c>
      <c r="M20" s="2"/>
      <c r="N20" s="7">
        <f t="shared" si="3"/>
        <v>-1.4081001536901217E-2</v>
      </c>
      <c r="O20" s="11"/>
      <c r="P20" s="6">
        <v>1740.9</v>
      </c>
      <c r="Q20" s="2"/>
      <c r="R20" s="7">
        <f t="shared" si="4"/>
        <v>0</v>
      </c>
      <c r="S20" s="2"/>
      <c r="T20" s="6">
        <v>1767.8430000000001</v>
      </c>
      <c r="U20" s="2"/>
      <c r="V20" s="7">
        <f t="shared" si="5"/>
        <v>0</v>
      </c>
      <c r="W20" s="2"/>
      <c r="X20" s="6">
        <f t="shared" si="6"/>
        <v>-26.942999999999984</v>
      </c>
      <c r="Y20" s="2"/>
      <c r="Z20" s="7">
        <f t="shared" si="7"/>
        <v>-1.5240606773339025E-2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429.19</v>
      </c>
      <c r="E21" s="2"/>
      <c r="F21" s="7">
        <f t="shared" si="0"/>
        <v>0</v>
      </c>
      <c r="G21" s="2"/>
      <c r="H21" s="6">
        <v>291.06</v>
      </c>
      <c r="I21" s="2"/>
      <c r="J21" s="7">
        <f t="shared" si="1"/>
        <v>0</v>
      </c>
      <c r="K21" s="2"/>
      <c r="L21" s="6">
        <f t="shared" si="2"/>
        <v>138.13</v>
      </c>
      <c r="M21" s="2"/>
      <c r="N21" s="7">
        <f t="shared" si="3"/>
        <v>0.47457568886140311</v>
      </c>
      <c r="O21" s="11"/>
      <c r="P21" s="6">
        <v>1576.17</v>
      </c>
      <c r="Q21" s="2"/>
      <c r="R21" s="7">
        <f t="shared" si="4"/>
        <v>0</v>
      </c>
      <c r="S21" s="2"/>
      <c r="T21" s="6">
        <v>1600.83</v>
      </c>
      <c r="U21" s="2"/>
      <c r="V21" s="7">
        <f t="shared" si="5"/>
        <v>0</v>
      </c>
      <c r="W21" s="2"/>
      <c r="X21" s="6">
        <f t="shared" si="6"/>
        <v>-24.659999999999854</v>
      </c>
      <c r="Y21" s="2"/>
      <c r="Z21" s="7">
        <f t="shared" si="7"/>
        <v>-1.5404508911002326E-2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82.31384615384593</v>
      </c>
      <c r="M22" s="2"/>
      <c r="N22" s="7">
        <f t="shared" si="3"/>
        <v>0.13409523809523768</v>
      </c>
      <c r="O22" s="11"/>
      <c r="P22" s="6">
        <v>3480.8</v>
      </c>
      <c r="Q22" s="2"/>
      <c r="R22" s="7">
        <f t="shared" si="4"/>
        <v>0</v>
      </c>
      <c r="S22" s="2"/>
      <c r="T22" s="6">
        <v>3376.1538461538462</v>
      </c>
      <c r="U22" s="2"/>
      <c r="V22" s="7">
        <f t="shared" si="5"/>
        <v>0</v>
      </c>
      <c r="W22" s="2"/>
      <c r="X22" s="6">
        <f t="shared" si="6"/>
        <v>104.64615384615399</v>
      </c>
      <c r="Y22" s="2"/>
      <c r="Z22" s="7">
        <f t="shared" si="7"/>
        <v>3.0995670995671038E-2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16.100000000000001</v>
      </c>
      <c r="E23" s="2"/>
      <c r="F23" s="7">
        <f t="shared" si="0"/>
        <v>0</v>
      </c>
      <c r="G23" s="2"/>
      <c r="H23" s="6">
        <v>10.92</v>
      </c>
      <c r="I23" s="2"/>
      <c r="J23" s="7">
        <f t="shared" si="1"/>
        <v>0</v>
      </c>
      <c r="K23" s="2"/>
      <c r="L23" s="6">
        <f t="shared" si="2"/>
        <v>5.1800000000000015</v>
      </c>
      <c r="M23" s="2"/>
      <c r="N23" s="7">
        <f t="shared" si="3"/>
        <v>0.47435897435897451</v>
      </c>
      <c r="O23" s="11"/>
      <c r="P23" s="6">
        <v>59.15</v>
      </c>
      <c r="Q23" s="2"/>
      <c r="R23" s="7">
        <f t="shared" si="4"/>
        <v>0</v>
      </c>
      <c r="S23" s="2"/>
      <c r="T23" s="6">
        <v>60.06</v>
      </c>
      <c r="U23" s="2"/>
      <c r="V23" s="7">
        <f t="shared" si="5"/>
        <v>0</v>
      </c>
      <c r="W23" s="2"/>
      <c r="X23" s="6">
        <f t="shared" si="6"/>
        <v>-0.91000000000000369</v>
      </c>
      <c r="Y23" s="2"/>
      <c r="Z23" s="7">
        <f t="shared" si="7"/>
        <v>-1.5151515151515213E-2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463.27</v>
      </c>
      <c r="M24" s="2"/>
      <c r="N24" s="7">
        <f t="shared" si="3"/>
        <v>0</v>
      </c>
      <c r="O24" s="11"/>
      <c r="P24" s="6">
        <v>2547.9899999999998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2547.9899999999998</v>
      </c>
      <c r="Y24" s="2"/>
      <c r="Z24" s="7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420</v>
      </c>
      <c r="I26" s="2"/>
      <c r="J26" s="7">
        <f t="shared" si="1"/>
        <v>0</v>
      </c>
      <c r="K26" s="2"/>
      <c r="L26" s="6">
        <f t="shared" si="2"/>
        <v>-32.04000000000002</v>
      </c>
      <c r="M26" s="2"/>
      <c r="N26" s="7">
        <f t="shared" si="3"/>
        <v>-7.6285714285714332E-2</v>
      </c>
      <c r="O26" s="11"/>
      <c r="P26" s="6">
        <v>1033.94</v>
      </c>
      <c r="Q26" s="2"/>
      <c r="R26" s="7">
        <f t="shared" si="4"/>
        <v>0</v>
      </c>
      <c r="S26" s="2"/>
      <c r="T26" s="6">
        <v>2310</v>
      </c>
      <c r="U26" s="2"/>
      <c r="V26" s="7">
        <f t="shared" si="5"/>
        <v>0</v>
      </c>
      <c r="W26" s="2"/>
      <c r="X26" s="6">
        <f t="shared" si="6"/>
        <v>-1276.06</v>
      </c>
      <c r="Y26" s="2"/>
      <c r="Z26" s="7">
        <f t="shared" si="7"/>
        <v>-0.55240692640692635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168</v>
      </c>
      <c r="I27" s="2"/>
      <c r="J27" s="7">
        <f t="shared" si="1"/>
        <v>0</v>
      </c>
      <c r="K27" s="2"/>
      <c r="L27" s="6">
        <f t="shared" si="2"/>
        <v>25.72</v>
      </c>
      <c r="M27" s="2"/>
      <c r="N27" s="7">
        <f t="shared" si="3"/>
        <v>0.15309523809523809</v>
      </c>
      <c r="O27" s="11"/>
      <c r="P27" s="6">
        <v>1065.46</v>
      </c>
      <c r="Q27" s="2"/>
      <c r="R27" s="7">
        <f t="shared" si="4"/>
        <v>0</v>
      </c>
      <c r="S27" s="2"/>
      <c r="T27" s="6">
        <v>924</v>
      </c>
      <c r="U27" s="2"/>
      <c r="V27" s="7">
        <f t="shared" si="5"/>
        <v>0</v>
      </c>
      <c r="W27" s="2"/>
      <c r="X27" s="6">
        <f t="shared" si="6"/>
        <v>141.46000000000004</v>
      </c>
      <c r="Y27" s="2"/>
      <c r="Z27" s="7">
        <f t="shared" si="7"/>
        <v>0.15309523809523815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112.9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112.9</v>
      </c>
      <c r="M28" s="2"/>
      <c r="N28" s="7">
        <f t="shared" si="3"/>
        <v>0</v>
      </c>
      <c r="O28" s="11"/>
      <c r="P28" s="6">
        <v>761.35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761.35</v>
      </c>
      <c r="Y28" s="2"/>
      <c r="Z28" s="7">
        <f t="shared" si="7"/>
        <v>0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3149.8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-588.19999999999982</v>
      </c>
      <c r="M29" s="1"/>
      <c r="N29" s="5">
        <f t="shared" ref="N29:N39" si="11">IF(H29=0,0,L29/H29)</f>
        <v>-0.15735687533440337</v>
      </c>
      <c r="O29" s="14"/>
      <c r="P29" s="1">
        <f>SUM(OSRRefP22_1x_0)</f>
        <v>21418.66</v>
      </c>
      <c r="Q29" s="1"/>
      <c r="R29" s="5">
        <f t="shared" ref="R29:R39" si="12">IF(P$12=0,0,P29/P$12)</f>
        <v>0</v>
      </c>
      <c r="S29" s="1"/>
      <c r="T29" s="1">
        <f>SUM(OSRRefT22_1x_0)</f>
        <v>20559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859.65999999999985</v>
      </c>
      <c r="Y29" s="1"/>
      <c r="Z29" s="5">
        <f t="shared" ref="Z29:Z39" si="15">IF(T29=0,0,X29/T29)</f>
        <v>4.1814290578335515E-2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>
        <v>3149.8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3149.8</v>
      </c>
      <c r="M31" s="2"/>
      <c r="N31" s="7">
        <f t="shared" si="11"/>
        <v>0</v>
      </c>
      <c r="O31" s="11"/>
      <c r="P31" s="6">
        <v>21418.66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21418.66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3738</v>
      </c>
      <c r="I33" s="2"/>
      <c r="J33" s="7">
        <f t="shared" si="9"/>
        <v>0</v>
      </c>
      <c r="K33" s="2"/>
      <c r="L33" s="6">
        <f t="shared" si="10"/>
        <v>-3738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20559</v>
      </c>
      <c r="U33" s="2"/>
      <c r="V33" s="7">
        <f t="shared" si="13"/>
        <v>0</v>
      </c>
      <c r="W33" s="2"/>
      <c r="X33" s="6">
        <f t="shared" si="14"/>
        <v>-20559</v>
      </c>
      <c r="Y33" s="2"/>
      <c r="Z33" s="7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-450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450</v>
      </c>
      <c r="Y40" s="1"/>
      <c r="Z40" s="5">
        <f t="shared" ref="Z40:Z46" si="23">IF(T40=0,0,X40/T40)</f>
        <v>-1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-150</v>
      </c>
      <c r="I41" s="2"/>
      <c r="J41" s="7">
        <f t="shared" si="17"/>
        <v>0</v>
      </c>
      <c r="K41" s="2"/>
      <c r="L41" s="6">
        <f t="shared" si="18"/>
        <v>150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-450</v>
      </c>
      <c r="U41" s="2"/>
      <c r="V41" s="7">
        <f t="shared" si="21"/>
        <v>0</v>
      </c>
      <c r="W41" s="2"/>
      <c r="X41" s="6">
        <f t="shared" si="22"/>
        <v>450</v>
      </c>
      <c r="Y41" s="2"/>
      <c r="Z41" s="7">
        <f t="shared" si="23"/>
        <v>-1</v>
      </c>
    </row>
    <row r="42" spans="1:26" s="29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122.8</v>
      </c>
      <c r="Q42" s="1"/>
      <c r="R42" s="5">
        <f t="shared" si="20"/>
        <v>0</v>
      </c>
      <c r="S42" s="1"/>
      <c r="T42" s="1">
        <f>SUM(OSRRefT22_3x_0)</f>
        <v>135</v>
      </c>
      <c r="U42" s="1"/>
      <c r="V42" s="5">
        <f t="shared" si="21"/>
        <v>0</v>
      </c>
      <c r="W42" s="1"/>
      <c r="X42" s="1">
        <f t="shared" si="22"/>
        <v>-12.200000000000003</v>
      </c>
      <c r="Y42" s="1"/>
      <c r="Z42" s="5">
        <f t="shared" si="23"/>
        <v>-9.0370370370370393E-2</v>
      </c>
    </row>
    <row r="43" spans="1:26" s="24" customFormat="1" hidden="1" outlineLevel="2" x14ac:dyDescent="0.25">
      <c r="A43" s="28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27</v>
      </c>
      <c r="I43" s="2"/>
      <c r="J43" s="7">
        <f t="shared" si="17"/>
        <v>0</v>
      </c>
      <c r="K43" s="2"/>
      <c r="L43" s="6">
        <f t="shared" si="18"/>
        <v>-2.4400000000000013</v>
      </c>
      <c r="M43" s="2"/>
      <c r="N43" s="7">
        <f t="shared" si="19"/>
        <v>-9.037037037037042E-2</v>
      </c>
      <c r="O43" s="11"/>
      <c r="P43" s="6">
        <v>122.8</v>
      </c>
      <c r="Q43" s="2"/>
      <c r="R43" s="7">
        <f t="shared" si="20"/>
        <v>0</v>
      </c>
      <c r="S43" s="2"/>
      <c r="T43" s="6">
        <v>135</v>
      </c>
      <c r="U43" s="2"/>
      <c r="V43" s="7">
        <f t="shared" si="21"/>
        <v>0</v>
      </c>
      <c r="W43" s="2"/>
      <c r="X43" s="6">
        <f t="shared" si="22"/>
        <v>-12.200000000000003</v>
      </c>
      <c r="Y43" s="2"/>
      <c r="Z43" s="7">
        <f t="shared" si="23"/>
        <v>-9.0370370370370393E-2</v>
      </c>
    </row>
    <row r="44" spans="1:26" s="29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485.1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-1014.9</v>
      </c>
      <c r="M44" s="1"/>
      <c r="N44" s="5">
        <f t="shared" si="19"/>
        <v>-0.67659999999999998</v>
      </c>
      <c r="O44" s="14"/>
      <c r="P44" s="1">
        <f>SUM(OSRRefP22_4x_0)</f>
        <v>5634.29</v>
      </c>
      <c r="Q44" s="1"/>
      <c r="R44" s="5">
        <f t="shared" si="20"/>
        <v>0</v>
      </c>
      <c r="S44" s="1"/>
      <c r="T44" s="1">
        <f>SUM(OSRRefT22_4x_0)</f>
        <v>7500</v>
      </c>
      <c r="U44" s="1"/>
      <c r="V44" s="5">
        <f t="shared" si="21"/>
        <v>0</v>
      </c>
      <c r="W44" s="1"/>
      <c r="X44" s="1">
        <f t="shared" si="22"/>
        <v>-1865.71</v>
      </c>
      <c r="Y44" s="1"/>
      <c r="Z44" s="5">
        <f t="shared" si="23"/>
        <v>-0.24876133333333333</v>
      </c>
    </row>
    <row r="45" spans="1:26" s="24" customFormat="1" hidden="1" outlineLevel="2" x14ac:dyDescent="0.25">
      <c r="A45" s="28"/>
      <c r="B45" s="11" t="str">
        <f>CONCATENATE("          ", "6373", " - ", "MAINTENANCE CONTRACTS")</f>
        <v xml:space="preserve">          6373 - MAINTENANCE CONTRACTS</v>
      </c>
      <c r="C45" s="11"/>
      <c r="D45" s="6"/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-1500</v>
      </c>
      <c r="M45" s="2"/>
      <c r="N45" s="7">
        <f t="shared" si="19"/>
        <v>-1</v>
      </c>
      <c r="O45" s="11"/>
      <c r="P45" s="6">
        <v>3464</v>
      </c>
      <c r="Q45" s="2"/>
      <c r="R45" s="7">
        <f t="shared" si="20"/>
        <v>0</v>
      </c>
      <c r="S45" s="2"/>
      <c r="T45" s="6">
        <v>7500</v>
      </c>
      <c r="U45" s="2"/>
      <c r="V45" s="7">
        <f t="shared" si="21"/>
        <v>0</v>
      </c>
      <c r="W45" s="2"/>
      <c r="X45" s="6">
        <f t="shared" si="22"/>
        <v>-4036</v>
      </c>
      <c r="Y45" s="2"/>
      <c r="Z45" s="7">
        <f t="shared" si="23"/>
        <v>-0.53813333333333335</v>
      </c>
    </row>
    <row r="46" spans="1:26" s="24" customFormat="1" hidden="1" outlineLevel="2" x14ac:dyDescent="0.25">
      <c r="A46" s="28"/>
      <c r="B46" s="11" t="str">
        <f>CONCATENATE("          ", "6375", " - ", "OUTSIDE REPAIRS &amp; MAINTENANCE")</f>
        <v xml:space="preserve">          6375 - OUTSIDE REPAIRS &amp; MAINTENANCE</v>
      </c>
      <c r="C46" s="11"/>
      <c r="D46" s="6">
        <v>485.1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485.1</v>
      </c>
      <c r="M46" s="2"/>
      <c r="N46" s="7">
        <f t="shared" si="19"/>
        <v>0</v>
      </c>
      <c r="O46" s="11"/>
      <c r="P46" s="6">
        <v>2170.29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2170.29</v>
      </c>
      <c r="Y46" s="2"/>
      <c r="Z46" s="7">
        <f t="shared" si="23"/>
        <v>0</v>
      </c>
    </row>
    <row r="47" spans="1:26" s="29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125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-125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8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24"/>
        <v>0</v>
      </c>
      <c r="G48" s="2"/>
      <c r="H48" s="6">
        <v>25</v>
      </c>
      <c r="I48" s="2"/>
      <c r="J48" s="7">
        <f t="shared" si="25"/>
        <v>0</v>
      </c>
      <c r="K48" s="2"/>
      <c r="L48" s="6">
        <f t="shared" si="26"/>
        <v>-25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125</v>
      </c>
      <c r="U48" s="2"/>
      <c r="V48" s="7">
        <f t="shared" si="29"/>
        <v>0</v>
      </c>
      <c r="W48" s="2"/>
      <c r="X48" s="6">
        <f t="shared" si="30"/>
        <v>-125</v>
      </c>
      <c r="Y48" s="2"/>
      <c r="Z48" s="7">
        <f t="shared" si="31"/>
        <v>-1</v>
      </c>
    </row>
    <row r="49" spans="1:26" s="29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66.12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66.12</v>
      </c>
      <c r="M49" s="1"/>
      <c r="N49" s="5">
        <f t="shared" si="27"/>
        <v>0</v>
      </c>
      <c r="O49" s="14"/>
      <c r="P49" s="1">
        <f>SUM(OSRRefP22_6x_0)</f>
        <v>82.04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-4917.96</v>
      </c>
      <c r="Y49" s="1"/>
      <c r="Z49" s="5">
        <f t="shared" si="31"/>
        <v>-0.98359200000000002</v>
      </c>
    </row>
    <row r="50" spans="1:26" s="24" customFormat="1" hidden="1" outlineLevel="2" x14ac:dyDescent="0.25">
      <c r="A50" s="28"/>
      <c r="B50" s="11" t="str">
        <f>CONCATENATE("          ", "6235", " - ", "COVID-19 EXPENSES")</f>
        <v xml:space="preserve">          6235 - COVID-19 EXPENSES</v>
      </c>
      <c r="C50" s="11"/>
      <c r="D50" s="6">
        <v>66.12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66.12</v>
      </c>
      <c r="M50" s="2"/>
      <c r="N50" s="7">
        <f t="shared" si="27"/>
        <v>0</v>
      </c>
      <c r="O50" s="11"/>
      <c r="P50" s="6">
        <v>66.12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66.12</v>
      </c>
      <c r="Y50" s="2"/>
      <c r="Z50" s="7">
        <f t="shared" si="31"/>
        <v>0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15.92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15.92</v>
      </c>
      <c r="Y51" s="2"/>
      <c r="Z51" s="7">
        <f t="shared" si="31"/>
        <v>0</v>
      </c>
    </row>
    <row r="52" spans="1:26" s="24" customFormat="1" hidden="1" outlineLevel="2" x14ac:dyDescent="0.25">
      <c r="A52" s="28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5000</v>
      </c>
      <c r="U52" s="2"/>
      <c r="V52" s="7">
        <f t="shared" si="29"/>
        <v>0</v>
      </c>
      <c r="W52" s="2"/>
      <c r="X52" s="6">
        <f t="shared" si="30"/>
        <v>-5000</v>
      </c>
      <c r="Y52" s="2"/>
      <c r="Z52" s="7">
        <f t="shared" si="31"/>
        <v>-1</v>
      </c>
    </row>
    <row r="53" spans="1:26" s="29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73</v>
      </c>
      <c r="E53" s="1"/>
      <c r="F53" s="5">
        <f t="shared" ref="F53:F54" si="32">IF(D$12=0,0,D53/D$12)</f>
        <v>0</v>
      </c>
      <c r="G53" s="1"/>
      <c r="H53" s="1">
        <f>SUM(OSRRefH22_7x_0)</f>
        <v>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48</v>
      </c>
      <c r="M53" s="1"/>
      <c r="N53" s="5">
        <f t="shared" ref="N53:N54" si="35">IF(H53=0,0,L53/H53)</f>
        <v>1.92</v>
      </c>
      <c r="O53" s="14"/>
      <c r="P53" s="1">
        <f>SUM(OSRRefP22_7x_0)</f>
        <v>344</v>
      </c>
      <c r="Q53" s="1"/>
      <c r="R53" s="5">
        <f t="shared" ref="R53:R54" si="36">IF(P$12=0,0,P53/P$12)</f>
        <v>0</v>
      </c>
      <c r="S53" s="1"/>
      <c r="T53" s="1">
        <f>SUM(OSRRefT22_7x_0)</f>
        <v>275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69</v>
      </c>
      <c r="Y53" s="1"/>
      <c r="Z53" s="5">
        <f t="shared" ref="Z53:Z54" si="39">IF(T53=0,0,X53/T53)</f>
        <v>0.25090909090909091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6">
        <v>73</v>
      </c>
      <c r="E54" s="2"/>
      <c r="F54" s="7">
        <f t="shared" si="32"/>
        <v>0</v>
      </c>
      <c r="G54" s="2"/>
      <c r="H54" s="6">
        <v>25</v>
      </c>
      <c r="I54" s="2"/>
      <c r="J54" s="7">
        <f t="shared" si="33"/>
        <v>0</v>
      </c>
      <c r="K54" s="2"/>
      <c r="L54" s="6">
        <f t="shared" si="34"/>
        <v>48</v>
      </c>
      <c r="M54" s="2"/>
      <c r="N54" s="7">
        <f t="shared" si="35"/>
        <v>1.92</v>
      </c>
      <c r="O54" s="11"/>
      <c r="P54" s="6">
        <v>344</v>
      </c>
      <c r="Q54" s="2"/>
      <c r="R54" s="7">
        <f t="shared" si="36"/>
        <v>0</v>
      </c>
      <c r="S54" s="2"/>
      <c r="T54" s="6">
        <v>275</v>
      </c>
      <c r="U54" s="2"/>
      <c r="V54" s="7">
        <f t="shared" si="37"/>
        <v>0</v>
      </c>
      <c r="W54" s="2"/>
      <c r="X54" s="6">
        <f t="shared" si="38"/>
        <v>69</v>
      </c>
      <c r="Y54" s="2"/>
      <c r="Z54" s="7">
        <f t="shared" si="39"/>
        <v>0.25090909090909091</v>
      </c>
    </row>
    <row r="55" spans="1:26" s="62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21">
        <f>+D16-D18+D56</f>
        <v>-6414.7800000000007</v>
      </c>
      <c r="E58" s="13"/>
      <c r="F58" s="20">
        <f>IF(D$12=0,0,D58/D$12)</f>
        <v>0</v>
      </c>
      <c r="G58" s="13"/>
      <c r="H58" s="21">
        <f>+H16-H18+H56</f>
        <v>-6990.2521538461542</v>
      </c>
      <c r="I58" s="13"/>
      <c r="J58" s="20">
        <f>IF(H$12=0,0,H58/H$12)</f>
        <v>0</v>
      </c>
      <c r="K58" s="16"/>
      <c r="L58" s="21">
        <f>+D58-H58</f>
        <v>575.47215384615356</v>
      </c>
      <c r="M58" s="16"/>
      <c r="N58" s="20">
        <f>IF(H58=0,0,L58/H58)</f>
        <v>-8.232494925515943E-2</v>
      </c>
      <c r="O58" s="26"/>
      <c r="P58" s="21">
        <f>+P16-P18+P56</f>
        <v>-39867.550000000003</v>
      </c>
      <c r="Q58" s="13"/>
      <c r="R58" s="20">
        <f>IF(P$12=0,0,P58/P$12)</f>
        <v>0</v>
      </c>
      <c r="S58" s="13"/>
      <c r="T58" s="21">
        <f>+T16-T18+T56</f>
        <v>-43182.886846153851</v>
      </c>
      <c r="U58" s="13"/>
      <c r="V58" s="20">
        <f>IF(T$12=0,0,T58/T$12)</f>
        <v>0</v>
      </c>
      <c r="W58" s="16"/>
      <c r="X58" s="21">
        <f>+P58-T58</f>
        <v>3315.3368461538485</v>
      </c>
      <c r="Y58" s="16"/>
      <c r="Z58" s="20">
        <f>IF(T58=0,0,X58/T58)</f>
        <v>-7.6774321688248451E-2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1">
        <f>+D58-D60</f>
        <v>-6414.7800000000007</v>
      </c>
      <c r="E62" s="13"/>
      <c r="F62" s="34">
        <f>IF(D$12=0,0,D62/D$12)</f>
        <v>0</v>
      </c>
      <c r="G62" s="13"/>
      <c r="H62" s="31">
        <f>+H58-H60</f>
        <v>-6990.2521538461542</v>
      </c>
      <c r="I62" s="13"/>
      <c r="J62" s="34">
        <f>IF(H$12=0,0,H62/H$12)</f>
        <v>0</v>
      </c>
      <c r="K62" s="16"/>
      <c r="L62" s="31">
        <f>D62-H62</f>
        <v>575.47215384615356</v>
      </c>
      <c r="M62" s="16"/>
      <c r="N62" s="34">
        <f>IF(H62=0,0,L62/H62)</f>
        <v>-8.232494925515943E-2</v>
      </c>
      <c r="O62" s="26"/>
      <c r="P62" s="31">
        <f>+P58-P60</f>
        <v>-39867.550000000003</v>
      </c>
      <c r="Q62" s="13"/>
      <c r="R62" s="34">
        <f>IF(P$12=0,0,P62/P$12)</f>
        <v>0</v>
      </c>
      <c r="S62" s="13"/>
      <c r="T62" s="31">
        <f>+T58-T60</f>
        <v>-43182.886846153851</v>
      </c>
      <c r="U62" s="13"/>
      <c r="V62" s="34">
        <f>IF(T$12=0,0,T62/T$12)</f>
        <v>0</v>
      </c>
      <c r="W62" s="16"/>
      <c r="X62" s="31">
        <f>P62-T62</f>
        <v>3315.3368461538485</v>
      </c>
      <c r="Y62" s="16"/>
      <c r="Z62" s="34">
        <f>IF(T62=0,0,X62/T62)</f>
        <v>-7.6774321688248451E-2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3">
        <f>SUM(D62:D64)</f>
        <v>-6414.7800000000007</v>
      </c>
      <c r="E65" s="13"/>
      <c r="F65" s="30">
        <f>IF(D$12=0,0,D65/D$12)</f>
        <v>0</v>
      </c>
      <c r="G65" s="13"/>
      <c r="H65" s="33">
        <f>SUM(H62:H64)</f>
        <v>-6990.2521538461542</v>
      </c>
      <c r="I65" s="13"/>
      <c r="J65" s="30">
        <f>IF(H$12=0,0,H65/H$12)</f>
        <v>0</v>
      </c>
      <c r="K65" s="16"/>
      <c r="L65" s="33">
        <f>+D65-H65</f>
        <v>575.47215384615356</v>
      </c>
      <c r="M65" s="16"/>
      <c r="N65" s="30">
        <f>IF(H65=0,0,L65/H65)</f>
        <v>-8.232494925515943E-2</v>
      </c>
      <c r="O65" s="26"/>
      <c r="P65" s="33">
        <f>SUM(P62:P64)</f>
        <v>-39867.550000000003</v>
      </c>
      <c r="Q65" s="13"/>
      <c r="R65" s="30">
        <f>IF(P$12=0,0,P65/P$12)</f>
        <v>0</v>
      </c>
      <c r="S65" s="13"/>
      <c r="T65" s="33">
        <f>SUM(T62:T64)</f>
        <v>-43182.886846153851</v>
      </c>
      <c r="U65" s="13"/>
      <c r="V65" s="30">
        <f>IF(T$12=0,0,T65/T$12)</f>
        <v>0</v>
      </c>
      <c r="W65" s="16"/>
      <c r="X65" s="33">
        <f>+P65-T65</f>
        <v>3315.3368461538485</v>
      </c>
      <c r="Y65" s="16"/>
      <c r="Z65" s="30">
        <f>IF(T65=0,0,X65/T65)</f>
        <v>-7.6774321688248451E-2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5">
        <v>44174.679385995369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7" t="s">
        <v>314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3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7104.2199999999993</v>
      </c>
      <c r="E18" s="19"/>
      <c r="F18" s="35">
        <f t="shared" ref="F18:F28" si="0">IF(D$12=0,0,D18/D$12)</f>
        <v>0</v>
      </c>
      <c r="G18" s="19"/>
      <c r="H18" s="19">
        <f>SUM(OSRRefH22x_0)</f>
        <v>17391.590153846155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-10287.370153846156</v>
      </c>
      <c r="M18" s="4"/>
      <c r="N18" s="35">
        <f t="shared" ref="N18:N28" si="3">IF(H18=0,0,L18/H18)</f>
        <v>-0.59151406299504483</v>
      </c>
      <c r="O18" s="10"/>
      <c r="P18" s="19">
        <f>SUM(OSRRefP22x_0)</f>
        <v>43759.709999999992</v>
      </c>
      <c r="Q18" s="19"/>
      <c r="R18" s="35">
        <f t="shared" ref="R18:R28" si="4">IF(P$12=0,0,P18/P$12)</f>
        <v>0</v>
      </c>
      <c r="S18" s="19"/>
      <c r="T18" s="19">
        <f>SUM(OSRRefT22x_0)</f>
        <v>96020.876846153842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-52261.16684615385</v>
      </c>
      <c r="Y18" s="4"/>
      <c r="Z18" s="35">
        <f t="shared" ref="Z18:Z28" si="7">IF(T18=0,0,X18/T18)</f>
        <v>-0.54426879406535222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1496.02</v>
      </c>
      <c r="E19" s="1"/>
      <c r="F19" s="5">
        <f t="shared" si="0"/>
        <v>0</v>
      </c>
      <c r="G19" s="1"/>
      <c r="H19" s="1">
        <f>SUM(OSRRefH22_0x_0)</f>
        <v>1611.590153846154</v>
      </c>
      <c r="I19" s="1"/>
      <c r="J19" s="5">
        <f t="shared" si="1"/>
        <v>0</v>
      </c>
      <c r="K19" s="1"/>
      <c r="L19" s="1">
        <f t="shared" si="2"/>
        <v>-115.57015384615397</v>
      </c>
      <c r="M19" s="1"/>
      <c r="N19" s="5">
        <f t="shared" si="3"/>
        <v>-7.1711876354133244E-2</v>
      </c>
      <c r="O19" s="14"/>
      <c r="P19" s="1">
        <f>SUM(OSRRefP22_0x_0)</f>
        <v>7955.3399999999992</v>
      </c>
      <c r="Q19" s="1"/>
      <c r="R19" s="5">
        <f t="shared" si="4"/>
        <v>0</v>
      </c>
      <c r="S19" s="1"/>
      <c r="T19" s="1">
        <f>SUM(OSRRefT22_0x_0)</f>
        <v>8982.8768461538457</v>
      </c>
      <c r="U19" s="1"/>
      <c r="V19" s="5">
        <f t="shared" si="5"/>
        <v>0</v>
      </c>
      <c r="W19" s="1"/>
      <c r="X19" s="1">
        <f t="shared" si="6"/>
        <v>-1027.5368461538465</v>
      </c>
      <c r="Y19" s="1"/>
      <c r="Z19" s="5">
        <f t="shared" si="7"/>
        <v>-0.11438839291154279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338.48</v>
      </c>
      <c r="E20" s="2"/>
      <c r="F20" s="7">
        <f t="shared" si="0"/>
        <v>0</v>
      </c>
      <c r="G20" s="2"/>
      <c r="H20" s="6">
        <v>367.34399999999999</v>
      </c>
      <c r="I20" s="2"/>
      <c r="J20" s="7">
        <f t="shared" si="1"/>
        <v>0</v>
      </c>
      <c r="K20" s="2"/>
      <c r="L20" s="6">
        <f t="shared" si="2"/>
        <v>-28.863999999999976</v>
      </c>
      <c r="M20" s="2"/>
      <c r="N20" s="7">
        <f t="shared" si="3"/>
        <v>-7.8574850821028733E-2</v>
      </c>
      <c r="O20" s="11"/>
      <c r="P20" s="6">
        <v>2023.65</v>
      </c>
      <c r="Q20" s="2"/>
      <c r="R20" s="7">
        <f t="shared" si="4"/>
        <v>0</v>
      </c>
      <c r="S20" s="2"/>
      <c r="T20" s="6">
        <v>2227.0230000000001</v>
      </c>
      <c r="U20" s="2"/>
      <c r="V20" s="7">
        <f t="shared" si="5"/>
        <v>0</v>
      </c>
      <c r="W20" s="2"/>
      <c r="X20" s="6">
        <f t="shared" si="6"/>
        <v>-203.37300000000005</v>
      </c>
      <c r="Y20" s="2"/>
      <c r="Z20" s="7">
        <f t="shared" si="7"/>
        <v>-9.1320565616071339E-2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28.23</v>
      </c>
      <c r="E21" s="2"/>
      <c r="F21" s="7">
        <f t="shared" si="0"/>
        <v>0</v>
      </c>
      <c r="G21" s="2"/>
      <c r="H21" s="6">
        <v>19.8</v>
      </c>
      <c r="I21" s="2"/>
      <c r="J21" s="7">
        <f t="shared" si="1"/>
        <v>0</v>
      </c>
      <c r="K21" s="2"/>
      <c r="L21" s="6">
        <f t="shared" si="2"/>
        <v>8.43</v>
      </c>
      <c r="M21" s="2"/>
      <c r="N21" s="7">
        <f t="shared" si="3"/>
        <v>0.42575757575757572</v>
      </c>
      <c r="O21" s="11"/>
      <c r="P21" s="6">
        <v>108.08</v>
      </c>
      <c r="Q21" s="2"/>
      <c r="R21" s="7">
        <f t="shared" si="4"/>
        <v>0</v>
      </c>
      <c r="S21" s="2"/>
      <c r="T21" s="6">
        <v>108.9</v>
      </c>
      <c r="U21" s="2"/>
      <c r="V21" s="7">
        <f t="shared" si="5"/>
        <v>0</v>
      </c>
      <c r="W21" s="2"/>
      <c r="X21" s="6">
        <f t="shared" si="6"/>
        <v>-0.82000000000000739</v>
      </c>
      <c r="Y21" s="2"/>
      <c r="Z21" s="7">
        <f t="shared" si="7"/>
        <v>-7.5298438934803249E-3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87.023846153845966</v>
      </c>
      <c r="M22" s="2"/>
      <c r="N22" s="7">
        <f t="shared" si="3"/>
        <v>0.14176817042606482</v>
      </c>
      <c r="O22" s="11"/>
      <c r="P22" s="6">
        <v>3504.35</v>
      </c>
      <c r="Q22" s="2"/>
      <c r="R22" s="7">
        <f t="shared" si="4"/>
        <v>0</v>
      </c>
      <c r="S22" s="2"/>
      <c r="T22" s="6">
        <v>3376.1538461538462</v>
      </c>
      <c r="U22" s="2"/>
      <c r="V22" s="7">
        <f t="shared" si="5"/>
        <v>0</v>
      </c>
      <c r="W22" s="2"/>
      <c r="X22" s="6">
        <f t="shared" si="6"/>
        <v>128.19615384615372</v>
      </c>
      <c r="Y22" s="2"/>
      <c r="Z22" s="7">
        <f t="shared" si="7"/>
        <v>3.7971064023695565E-2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22.24</v>
      </c>
      <c r="E23" s="2"/>
      <c r="F23" s="7">
        <f t="shared" si="0"/>
        <v>0</v>
      </c>
      <c r="G23" s="2"/>
      <c r="H23" s="6">
        <v>15.6</v>
      </c>
      <c r="I23" s="2"/>
      <c r="J23" s="7">
        <f t="shared" si="1"/>
        <v>0</v>
      </c>
      <c r="K23" s="2"/>
      <c r="L23" s="6">
        <f t="shared" si="2"/>
        <v>6.6399999999999988</v>
      </c>
      <c r="M23" s="2"/>
      <c r="N23" s="7">
        <f t="shared" si="3"/>
        <v>0.42564102564102557</v>
      </c>
      <c r="O23" s="11"/>
      <c r="P23" s="6">
        <v>85.16</v>
      </c>
      <c r="Q23" s="2"/>
      <c r="R23" s="7">
        <f t="shared" si="4"/>
        <v>0</v>
      </c>
      <c r="S23" s="2"/>
      <c r="T23" s="6">
        <v>85.8</v>
      </c>
      <c r="U23" s="2"/>
      <c r="V23" s="7">
        <f t="shared" si="5"/>
        <v>0</v>
      </c>
      <c r="W23" s="2"/>
      <c r="X23" s="6">
        <f t="shared" si="6"/>
        <v>-0.64000000000000057</v>
      </c>
      <c r="Y23" s="2"/>
      <c r="Z23" s="7">
        <f t="shared" si="7"/>
        <v>-7.4592074592074661E-3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240</v>
      </c>
      <c r="I26" s="2"/>
      <c r="J26" s="7">
        <f t="shared" si="1"/>
        <v>0</v>
      </c>
      <c r="K26" s="2"/>
      <c r="L26" s="6">
        <f t="shared" si="2"/>
        <v>-55.199999999999989</v>
      </c>
      <c r="M26" s="2"/>
      <c r="N26" s="7">
        <f t="shared" si="3"/>
        <v>-0.22999999999999995</v>
      </c>
      <c r="O26" s="11"/>
      <c r="P26" s="6">
        <v>1016.4</v>
      </c>
      <c r="Q26" s="2"/>
      <c r="R26" s="7">
        <f t="shared" si="4"/>
        <v>0</v>
      </c>
      <c r="S26" s="2"/>
      <c r="T26" s="6">
        <v>1320</v>
      </c>
      <c r="U26" s="2"/>
      <c r="V26" s="7">
        <f t="shared" si="5"/>
        <v>0</v>
      </c>
      <c r="W26" s="2"/>
      <c r="X26" s="6">
        <f t="shared" si="6"/>
        <v>-303.60000000000002</v>
      </c>
      <c r="Y26" s="2"/>
      <c r="Z26" s="7">
        <f t="shared" si="7"/>
        <v>-0.23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180</v>
      </c>
      <c r="I27" s="2"/>
      <c r="J27" s="7">
        <f t="shared" si="1"/>
        <v>0</v>
      </c>
      <c r="K27" s="2"/>
      <c r="L27" s="6">
        <f t="shared" si="2"/>
        <v>41.400000000000006</v>
      </c>
      <c r="M27" s="2"/>
      <c r="N27" s="7">
        <f t="shared" si="3"/>
        <v>0.23000000000000004</v>
      </c>
      <c r="O27" s="11"/>
      <c r="P27" s="6">
        <v>1217.7</v>
      </c>
      <c r="Q27" s="2"/>
      <c r="R27" s="7">
        <f t="shared" si="4"/>
        <v>0</v>
      </c>
      <c r="S27" s="2"/>
      <c r="T27" s="6">
        <v>990</v>
      </c>
      <c r="U27" s="2"/>
      <c r="V27" s="7">
        <f t="shared" si="5"/>
        <v>0</v>
      </c>
      <c r="W27" s="2"/>
      <c r="X27" s="6">
        <f t="shared" si="6"/>
        <v>227.70000000000005</v>
      </c>
      <c r="Y27" s="2"/>
      <c r="Z27" s="7">
        <f t="shared" si="7"/>
        <v>0.23000000000000004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-175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875</v>
      </c>
      <c r="U28" s="2"/>
      <c r="V28" s="7">
        <f t="shared" si="5"/>
        <v>0</v>
      </c>
      <c r="W28" s="2"/>
      <c r="X28" s="6">
        <f t="shared" si="6"/>
        <v>-875</v>
      </c>
      <c r="Y28" s="2"/>
      <c r="Z28" s="7">
        <f t="shared" si="7"/>
        <v>-1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5127.7199999999993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-548.28000000000065</v>
      </c>
      <c r="M29" s="1"/>
      <c r="N29" s="5">
        <f t="shared" ref="N29:N39" si="11">IF(H29=0,0,L29/H29)</f>
        <v>-9.6596194503171362E-2</v>
      </c>
      <c r="O29" s="14"/>
      <c r="P29" s="1">
        <f>SUM(OSRRefP22_1x_0)</f>
        <v>33611.18</v>
      </c>
      <c r="Q29" s="1"/>
      <c r="R29" s="5">
        <f t="shared" ref="R29:R39" si="12">IF(P$12=0,0,P29/P$12)</f>
        <v>0</v>
      </c>
      <c r="S29" s="1"/>
      <c r="T29" s="1">
        <f>SUM(OSRRefT22_1x_0)</f>
        <v>31218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2393.1800000000003</v>
      </c>
      <c r="Y29" s="1"/>
      <c r="Z29" s="5">
        <f t="shared" ref="Z29:Z39" si="15">IF(T29=0,0,X29/T29)</f>
        <v>7.666026010634891E-2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>
        <v>3965.1</v>
      </c>
      <c r="E33" s="2"/>
      <c r="F33" s="7">
        <f t="shared" si="8"/>
        <v>0</v>
      </c>
      <c r="G33" s="2"/>
      <c r="H33" s="6">
        <v>4512</v>
      </c>
      <c r="I33" s="2"/>
      <c r="J33" s="7">
        <f t="shared" si="9"/>
        <v>0</v>
      </c>
      <c r="K33" s="2"/>
      <c r="L33" s="6">
        <f t="shared" si="10"/>
        <v>-546.90000000000009</v>
      </c>
      <c r="M33" s="2"/>
      <c r="N33" s="7">
        <f t="shared" si="11"/>
        <v>-0.12121010638297874</v>
      </c>
      <c r="O33" s="11"/>
      <c r="P33" s="6">
        <v>26487.599999999999</v>
      </c>
      <c r="Q33" s="2"/>
      <c r="R33" s="7">
        <f t="shared" si="12"/>
        <v>0</v>
      </c>
      <c r="S33" s="2"/>
      <c r="T33" s="6">
        <v>24816</v>
      </c>
      <c r="U33" s="2"/>
      <c r="V33" s="7">
        <f t="shared" si="13"/>
        <v>0</v>
      </c>
      <c r="W33" s="2"/>
      <c r="X33" s="6">
        <f t="shared" si="14"/>
        <v>1671.5999999999985</v>
      </c>
      <c r="Y33" s="2"/>
      <c r="Z33" s="7">
        <f t="shared" si="15"/>
        <v>6.7359767891682729E-2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0</v>
      </c>
      <c r="Q36" s="2"/>
      <c r="R36" s="7">
        <f t="shared" si="12"/>
        <v>0</v>
      </c>
      <c r="S36" s="2"/>
      <c r="T36" s="6">
        <v>2619</v>
      </c>
      <c r="U36" s="2"/>
      <c r="V36" s="7">
        <f t="shared" si="13"/>
        <v>0</v>
      </c>
      <c r="W36" s="2"/>
      <c r="X36" s="6">
        <f t="shared" si="14"/>
        <v>-2619</v>
      </c>
      <c r="Y36" s="2"/>
      <c r="Z36" s="7">
        <f t="shared" si="15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>
        <v>1162.6199999999999</v>
      </c>
      <c r="E37" s="2"/>
      <c r="F37" s="7">
        <f t="shared" si="8"/>
        <v>0</v>
      </c>
      <c r="G37" s="2"/>
      <c r="H37" s="6">
        <v>1164</v>
      </c>
      <c r="I37" s="2"/>
      <c r="J37" s="7">
        <f t="shared" si="9"/>
        <v>0</v>
      </c>
      <c r="K37" s="2"/>
      <c r="L37" s="6">
        <f t="shared" si="10"/>
        <v>-1.3800000000001091</v>
      </c>
      <c r="M37" s="2"/>
      <c r="N37" s="7">
        <f t="shared" si="11"/>
        <v>-1.1855670103093721E-3</v>
      </c>
      <c r="O37" s="11"/>
      <c r="P37" s="6">
        <v>7123.58</v>
      </c>
      <c r="Q37" s="2"/>
      <c r="R37" s="7">
        <f t="shared" si="12"/>
        <v>0</v>
      </c>
      <c r="S37" s="2"/>
      <c r="T37" s="6">
        <v>3783</v>
      </c>
      <c r="U37" s="2"/>
      <c r="V37" s="7">
        <f t="shared" si="13"/>
        <v>0</v>
      </c>
      <c r="W37" s="2"/>
      <c r="X37" s="6">
        <f t="shared" si="14"/>
        <v>3340.58</v>
      </c>
      <c r="Y37" s="2"/>
      <c r="Z37" s="7">
        <f t="shared" si="15"/>
        <v>0.88305048902987049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692.84</v>
      </c>
      <c r="Q40" s="1"/>
      <c r="R40" s="5">
        <f t="shared" ref="R40:R54" si="20">IF(P$12=0,0,P40/P$12)</f>
        <v>0</v>
      </c>
      <c r="S40" s="1"/>
      <c r="T40" s="1">
        <f>SUM(OSRRefT22_2x_0)</f>
        <v>41665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-40972.160000000003</v>
      </c>
      <c r="Y40" s="1"/>
      <c r="Z40" s="5">
        <f t="shared" ref="Z40:Z54" si="23">IF(T40=0,0,X40/T40)</f>
        <v>-0.98337117484699399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173.21</v>
      </c>
      <c r="E41" s="2"/>
      <c r="F41" s="7">
        <f t="shared" si="16"/>
        <v>0</v>
      </c>
      <c r="G41" s="2"/>
      <c r="H41" s="6">
        <v>8333</v>
      </c>
      <c r="I41" s="2"/>
      <c r="J41" s="7">
        <f t="shared" si="17"/>
        <v>0</v>
      </c>
      <c r="K41" s="2"/>
      <c r="L41" s="6">
        <f t="shared" si="18"/>
        <v>-8159.79</v>
      </c>
      <c r="M41" s="2"/>
      <c r="N41" s="7">
        <f t="shared" si="19"/>
        <v>-0.97921396855874232</v>
      </c>
      <c r="O41" s="11"/>
      <c r="P41" s="6">
        <v>692.84</v>
      </c>
      <c r="Q41" s="2"/>
      <c r="R41" s="7">
        <f t="shared" si="20"/>
        <v>0</v>
      </c>
      <c r="S41" s="2"/>
      <c r="T41" s="6">
        <v>41665</v>
      </c>
      <c r="U41" s="2"/>
      <c r="V41" s="7">
        <f t="shared" si="21"/>
        <v>0</v>
      </c>
      <c r="W41" s="2"/>
      <c r="X41" s="6">
        <f t="shared" si="22"/>
        <v>-40972.160000000003</v>
      </c>
      <c r="Y41" s="2"/>
      <c r="Z41" s="7">
        <f t="shared" si="23"/>
        <v>-0.98337117484699399</v>
      </c>
    </row>
    <row r="42" spans="1:26" s="29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1356.35</v>
      </c>
      <c r="Q42" s="1"/>
      <c r="R42" s="5">
        <f t="shared" si="20"/>
        <v>0</v>
      </c>
      <c r="S42" s="1"/>
      <c r="T42" s="1">
        <f>SUM(OSRRefT22_3x_0)</f>
        <v>1355</v>
      </c>
      <c r="U42" s="1"/>
      <c r="V42" s="5">
        <f t="shared" si="21"/>
        <v>0</v>
      </c>
      <c r="W42" s="1"/>
      <c r="X42" s="1">
        <f t="shared" si="22"/>
        <v>1.3499999999999091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271.27</v>
      </c>
      <c r="E43" s="2"/>
      <c r="F43" s="7">
        <f t="shared" si="16"/>
        <v>0</v>
      </c>
      <c r="G43" s="2"/>
      <c r="H43" s="6">
        <v>271</v>
      </c>
      <c r="I43" s="2"/>
      <c r="J43" s="7">
        <f t="shared" si="17"/>
        <v>0</v>
      </c>
      <c r="K43" s="2"/>
      <c r="L43" s="6">
        <f t="shared" si="18"/>
        <v>0.26999999999998181</v>
      </c>
      <c r="M43" s="2"/>
      <c r="N43" s="7">
        <f t="shared" si="19"/>
        <v>9.9630996309956377E-4</v>
      </c>
      <c r="O43" s="11"/>
      <c r="P43" s="6">
        <v>1356.35</v>
      </c>
      <c r="Q43" s="2"/>
      <c r="R43" s="7">
        <f t="shared" si="20"/>
        <v>0</v>
      </c>
      <c r="S43" s="2"/>
      <c r="T43" s="6">
        <v>1355</v>
      </c>
      <c r="U43" s="2"/>
      <c r="V43" s="7">
        <f t="shared" si="21"/>
        <v>0</v>
      </c>
      <c r="W43" s="2"/>
      <c r="X43" s="6">
        <f t="shared" si="22"/>
        <v>1.3499999999999091</v>
      </c>
      <c r="Y43" s="2"/>
      <c r="Z43" s="7">
        <f t="shared" si="23"/>
        <v>9.9630996309956377E-4</v>
      </c>
    </row>
    <row r="44" spans="1:26" s="29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8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-500</v>
      </c>
      <c r="Y45" s="2"/>
      <c r="Z45" s="7">
        <f t="shared" si="23"/>
        <v>-1</v>
      </c>
    </row>
    <row r="46" spans="1:26" s="29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3335</v>
      </c>
      <c r="U46" s="1"/>
      <c r="V46" s="5">
        <f t="shared" si="21"/>
        <v>0</v>
      </c>
      <c r="W46" s="1"/>
      <c r="X46" s="1">
        <f t="shared" si="22"/>
        <v>-3335</v>
      </c>
      <c r="Y46" s="1"/>
      <c r="Z46" s="5">
        <f t="shared" si="23"/>
        <v>-1</v>
      </c>
    </row>
    <row r="47" spans="1:26" s="24" customFormat="1" hidden="1" outlineLevel="2" x14ac:dyDescent="0.25">
      <c r="A47" s="28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>
        <v>667</v>
      </c>
      <c r="I47" s="2"/>
      <c r="J47" s="7">
        <f t="shared" si="17"/>
        <v>0</v>
      </c>
      <c r="K47" s="2"/>
      <c r="L47" s="6">
        <f t="shared" si="18"/>
        <v>-667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3335</v>
      </c>
      <c r="U47" s="2"/>
      <c r="V47" s="7">
        <f t="shared" si="21"/>
        <v>0</v>
      </c>
      <c r="W47" s="2"/>
      <c r="X47" s="6">
        <f t="shared" si="22"/>
        <v>-3335</v>
      </c>
      <c r="Y47" s="2"/>
      <c r="Z47" s="7">
        <f t="shared" si="23"/>
        <v>-1</v>
      </c>
    </row>
    <row r="48" spans="1:26" s="29" customFormat="1" outlineLevel="1" collapsed="1" x14ac:dyDescent="0.25">
      <c r="A48" s="27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8"/>
      <c r="B49" s="11" t="str">
        <f>CONCATENATE("          ", "6258", " - ", "MEMBERSHIP DUES")</f>
        <v xml:space="preserve">          6258 - MEMBERSHIP DUES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600</v>
      </c>
      <c r="U49" s="2"/>
      <c r="V49" s="7">
        <f t="shared" si="21"/>
        <v>0</v>
      </c>
      <c r="W49" s="2"/>
      <c r="X49" s="6">
        <f t="shared" si="22"/>
        <v>-600</v>
      </c>
      <c r="Y49" s="2"/>
      <c r="Z49" s="7">
        <f t="shared" si="23"/>
        <v>-1</v>
      </c>
    </row>
    <row r="50" spans="1:26" s="29" customFormat="1" outlineLevel="1" collapsed="1" x14ac:dyDescent="0.25">
      <c r="A50" s="27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4165</v>
      </c>
      <c r="U50" s="1"/>
      <c r="V50" s="5">
        <f t="shared" si="21"/>
        <v>0</v>
      </c>
      <c r="W50" s="1"/>
      <c r="X50" s="1">
        <f t="shared" si="22"/>
        <v>-4165</v>
      </c>
      <c r="Y50" s="1"/>
      <c r="Z50" s="5">
        <f t="shared" si="23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16"/>
        <v>0</v>
      </c>
      <c r="G51" s="2"/>
      <c r="H51" s="6">
        <v>833</v>
      </c>
      <c r="I51" s="2"/>
      <c r="J51" s="7">
        <f t="shared" si="17"/>
        <v>0</v>
      </c>
      <c r="K51" s="2"/>
      <c r="L51" s="6">
        <f t="shared" si="18"/>
        <v>-833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4165</v>
      </c>
      <c r="U51" s="2"/>
      <c r="V51" s="7">
        <f t="shared" si="21"/>
        <v>0</v>
      </c>
      <c r="W51" s="2"/>
      <c r="X51" s="6">
        <f t="shared" si="22"/>
        <v>-4165</v>
      </c>
      <c r="Y51" s="2"/>
      <c r="Z51" s="7">
        <f t="shared" si="23"/>
        <v>-1</v>
      </c>
    </row>
    <row r="52" spans="1:26" s="29" customFormat="1" outlineLevel="1" collapsed="1" x14ac:dyDescent="0.25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4"/>
      <c r="P52" s="1">
        <f>SUM(OSRRefP22_8x_0)</f>
        <v>144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-1656</v>
      </c>
      <c r="Y52" s="1"/>
      <c r="Z52" s="5">
        <f t="shared" si="23"/>
        <v>-0.92</v>
      </c>
    </row>
    <row r="53" spans="1:26" s="24" customFormat="1" hidden="1" outlineLevel="2" x14ac:dyDescent="0.25">
      <c r="A53" s="28"/>
      <c r="B53" s="11" t="str">
        <f>CONCATENATE("          ", "6303", " - ", "DATA PHONE LINES")</f>
        <v xml:space="preserve">          6303 - DATA PHONE LINES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1800</v>
      </c>
      <c r="U53" s="2"/>
      <c r="V53" s="7">
        <f t="shared" si="21"/>
        <v>0</v>
      </c>
      <c r="W53" s="2"/>
      <c r="X53" s="6">
        <f t="shared" si="22"/>
        <v>-1800</v>
      </c>
      <c r="Y53" s="2"/>
      <c r="Z53" s="7">
        <f t="shared" si="23"/>
        <v>-1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6">
        <v>36</v>
      </c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36</v>
      </c>
      <c r="M54" s="2"/>
      <c r="N54" s="7">
        <f t="shared" si="19"/>
        <v>0</v>
      </c>
      <c r="O54" s="11"/>
      <c r="P54" s="6">
        <v>144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144</v>
      </c>
      <c r="Y54" s="2"/>
      <c r="Z54" s="7">
        <f t="shared" si="23"/>
        <v>0</v>
      </c>
    </row>
    <row r="55" spans="1:26" s="29" customFormat="1" outlineLevel="1" collapsed="1" x14ac:dyDescent="0.25">
      <c r="A55" s="27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8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2400</v>
      </c>
      <c r="U56" s="2"/>
      <c r="V56" s="7">
        <f t="shared" si="29"/>
        <v>0</v>
      </c>
      <c r="W56" s="2"/>
      <c r="X56" s="6">
        <f t="shared" si="30"/>
        <v>-2400</v>
      </c>
      <c r="Y56" s="2"/>
      <c r="Z56" s="7">
        <f t="shared" si="31"/>
        <v>-1</v>
      </c>
    </row>
    <row r="57" spans="1:26" s="62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5" t="s">
        <v>3</v>
      </c>
      <c r="C60" s="25"/>
      <c r="D60" s="21">
        <f>+D16-D18+D58</f>
        <v>-7104.2199999999993</v>
      </c>
      <c r="E60" s="13"/>
      <c r="F60" s="20">
        <f>IF(D$12=0,0,D60/D$12)</f>
        <v>0</v>
      </c>
      <c r="G60" s="13"/>
      <c r="H60" s="21">
        <f>+H16-H18+H58</f>
        <v>-17391.590153846155</v>
      </c>
      <c r="I60" s="13"/>
      <c r="J60" s="20">
        <f>IF(H$12=0,0,H60/H$12)</f>
        <v>0</v>
      </c>
      <c r="K60" s="16"/>
      <c r="L60" s="21">
        <f>+D60-H60</f>
        <v>10287.370153846156</v>
      </c>
      <c r="M60" s="16"/>
      <c r="N60" s="20">
        <f>IF(H60=0,0,L60/H60)</f>
        <v>-0.59151406299504483</v>
      </c>
      <c r="O60" s="26"/>
      <c r="P60" s="21">
        <f>+P16-P18+P58</f>
        <v>-43759.709999999992</v>
      </c>
      <c r="Q60" s="13"/>
      <c r="R60" s="20">
        <f>IF(P$12=0,0,P60/P$12)</f>
        <v>0</v>
      </c>
      <c r="S60" s="13"/>
      <c r="T60" s="21">
        <f>+T16-T18+T58</f>
        <v>-96020.876846153842</v>
      </c>
      <c r="U60" s="13"/>
      <c r="V60" s="20">
        <f>IF(T$12=0,0,T60/T$12)</f>
        <v>0</v>
      </c>
      <c r="W60" s="16"/>
      <c r="X60" s="21">
        <f>+P60-T60</f>
        <v>52261.16684615385</v>
      </c>
      <c r="Y60" s="16"/>
      <c r="Z60" s="20">
        <f>IF(T60=0,0,X60/T60)</f>
        <v>-0.54426879406535222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4</v>
      </c>
      <c r="C64" s="25"/>
      <c r="D64" s="31">
        <f>+D60-D62</f>
        <v>-7104.2199999999993</v>
      </c>
      <c r="E64" s="13"/>
      <c r="F64" s="34">
        <f>IF(D$12=0,0,D64/D$12)</f>
        <v>0</v>
      </c>
      <c r="G64" s="13"/>
      <c r="H64" s="31">
        <f>+H60-H62</f>
        <v>-17391.590153846155</v>
      </c>
      <c r="I64" s="13"/>
      <c r="J64" s="34">
        <f>IF(H$12=0,0,H64/H$12)</f>
        <v>0</v>
      </c>
      <c r="K64" s="16"/>
      <c r="L64" s="31">
        <f>D64-H64</f>
        <v>10287.370153846156</v>
      </c>
      <c r="M64" s="16"/>
      <c r="N64" s="34">
        <f>IF(H64=0,0,L64/H64)</f>
        <v>-0.59151406299504483</v>
      </c>
      <c r="O64" s="26"/>
      <c r="P64" s="31">
        <f>+P60-P62</f>
        <v>-43759.709999999992</v>
      </c>
      <c r="Q64" s="13"/>
      <c r="R64" s="34">
        <f>IF(P$12=0,0,P64/P$12)</f>
        <v>0</v>
      </c>
      <c r="S64" s="13"/>
      <c r="T64" s="31">
        <f>+T60-T62</f>
        <v>-96020.876846153842</v>
      </c>
      <c r="U64" s="13"/>
      <c r="V64" s="34">
        <f>IF(T$12=0,0,T64/T$12)</f>
        <v>0</v>
      </c>
      <c r="W64" s="16"/>
      <c r="X64" s="31">
        <f>P64-T64</f>
        <v>52261.16684615385</v>
      </c>
      <c r="Y64" s="16"/>
      <c r="Z64" s="34">
        <f>IF(T64=0,0,X64/T64)</f>
        <v>-0.54426879406535222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5</v>
      </c>
      <c r="C67" s="25"/>
      <c r="D67" s="33">
        <f>SUM(D64:D66)</f>
        <v>-7104.2199999999993</v>
      </c>
      <c r="E67" s="13"/>
      <c r="F67" s="30">
        <f>IF(D$12=0,0,D67/D$12)</f>
        <v>0</v>
      </c>
      <c r="G67" s="13"/>
      <c r="H67" s="33">
        <f>SUM(H64:H66)</f>
        <v>-17391.590153846155</v>
      </c>
      <c r="I67" s="13"/>
      <c r="J67" s="30">
        <f>IF(H$12=0,0,H67/H$12)</f>
        <v>0</v>
      </c>
      <c r="K67" s="16"/>
      <c r="L67" s="33">
        <f>+D67-H67</f>
        <v>10287.370153846156</v>
      </c>
      <c r="M67" s="16"/>
      <c r="N67" s="30">
        <f>IF(H67=0,0,L67/H67)</f>
        <v>-0.59151406299504483</v>
      </c>
      <c r="O67" s="26"/>
      <c r="P67" s="33">
        <f>SUM(P64:P66)</f>
        <v>-43759.709999999992</v>
      </c>
      <c r="Q67" s="13"/>
      <c r="R67" s="30">
        <f>IF(P$12=0,0,P67/P$12)</f>
        <v>0</v>
      </c>
      <c r="S67" s="13"/>
      <c r="T67" s="33">
        <f>SUM(T64:T66)</f>
        <v>-96020.876846153842</v>
      </c>
      <c r="U67" s="13"/>
      <c r="V67" s="30">
        <f>IF(T$12=0,0,T67/T$12)</f>
        <v>0</v>
      </c>
      <c r="W67" s="16"/>
      <c r="X67" s="33">
        <f>+P67-T67</f>
        <v>52261.16684615385</v>
      </c>
      <c r="Y67" s="16"/>
      <c r="Z67" s="30">
        <f>IF(T67=0,0,X67/T67)</f>
        <v>-0.54426879406535222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5">
        <v>44174.679401423607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7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3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110972.66000000003</v>
      </c>
      <c r="E12" s="4"/>
      <c r="F12" s="12"/>
      <c r="G12" s="4"/>
      <c r="H12" s="4">
        <f>SUM(OSRRefH13x_0)</f>
        <v>392748</v>
      </c>
      <c r="I12" s="4"/>
      <c r="J12" s="12"/>
      <c r="K12" s="4"/>
      <c r="L12" s="4">
        <f t="shared" ref="L12:L76" si="0">+D12-H12</f>
        <v>-281775.33999999997</v>
      </c>
      <c r="M12" s="4"/>
      <c r="N12" s="12">
        <f t="shared" ref="N12:N76" si="1">IF(H12=0,0,L12/H12)</f>
        <v>-0.71744563944310336</v>
      </c>
      <c r="O12" s="10"/>
      <c r="P12" s="4">
        <f>SUM(OSRRefP13x_0)</f>
        <v>2467569.39</v>
      </c>
      <c r="Q12" s="4"/>
      <c r="R12" s="12"/>
      <c r="S12" s="4"/>
      <c r="T12" s="4">
        <f>SUM(OSRRefT13x_0)</f>
        <v>4501659</v>
      </c>
      <c r="U12" s="4"/>
      <c r="V12" s="12"/>
      <c r="W12" s="4"/>
      <c r="X12" s="4">
        <f t="shared" ref="X12:X76" si="2">+P12-T12</f>
        <v>-2034089.6099999999</v>
      </c>
      <c r="Y12" s="4"/>
      <c r="Z12" s="12">
        <f t="shared" ref="Z12:Z76" si="3">IF(T12=0,0,X12/T12)</f>
        <v>-0.45185333007231332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-9538.33</f>
        <v>-9538.33</v>
      </c>
      <c r="E13" s="2"/>
      <c r="F13" s="22"/>
      <c r="G13" s="2"/>
      <c r="H13" s="2">
        <v>345444</v>
      </c>
      <c r="I13" s="2"/>
      <c r="J13" s="22"/>
      <c r="K13" s="2"/>
      <c r="L13" s="2">
        <f t="shared" si="0"/>
        <v>-354982.33</v>
      </c>
      <c r="M13" s="2"/>
      <c r="N13" s="22">
        <f t="shared" si="1"/>
        <v>-1.0276117981496278</v>
      </c>
      <c r="O13" s="11"/>
      <c r="P13" s="2">
        <f>-56998.65</f>
        <v>-56998.65</v>
      </c>
      <c r="Q13" s="2"/>
      <c r="R13" s="22"/>
      <c r="S13" s="2"/>
      <c r="T13" s="2">
        <v>4299116</v>
      </c>
      <c r="U13" s="2"/>
      <c r="V13" s="22"/>
      <c r="W13" s="2"/>
      <c r="X13" s="2">
        <f t="shared" si="2"/>
        <v>-4356114.6500000004</v>
      </c>
      <c r="Y13" s="2"/>
      <c r="Z13" s="22">
        <f t="shared" si="3"/>
        <v>-1.0132582256445279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22"/>
      <c r="G14" s="2"/>
      <c r="H14" s="2"/>
      <c r="I14" s="2"/>
      <c r="J14" s="22"/>
      <c r="K14" s="2"/>
      <c r="L14" s="2">
        <f t="shared" si="0"/>
        <v>6816.45</v>
      </c>
      <c r="M14" s="2"/>
      <c r="N14" s="22">
        <f t="shared" si="1"/>
        <v>0</v>
      </c>
      <c r="O14" s="11"/>
      <c r="P14" s="2">
        <f>--719144.02</f>
        <v>719144.02</v>
      </c>
      <c r="Q14" s="2"/>
      <c r="R14" s="22"/>
      <c r="S14" s="2"/>
      <c r="T14" s="2"/>
      <c r="U14" s="2"/>
      <c r="V14" s="22"/>
      <c r="W14" s="2"/>
      <c r="X14" s="2">
        <f t="shared" si="2"/>
        <v>719144.02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22"/>
      <c r="G15" s="2"/>
      <c r="H15" s="2"/>
      <c r="I15" s="2"/>
      <c r="J15" s="22"/>
      <c r="K15" s="2"/>
      <c r="L15" s="2">
        <f t="shared" si="0"/>
        <v>1492.1</v>
      </c>
      <c r="M15" s="2"/>
      <c r="N15" s="22">
        <f t="shared" si="1"/>
        <v>0</v>
      </c>
      <c r="O15" s="11"/>
      <c r="P15" s="2">
        <f>--320631.62</f>
        <v>320631.62</v>
      </c>
      <c r="Q15" s="2"/>
      <c r="R15" s="22"/>
      <c r="S15" s="2"/>
      <c r="T15" s="2"/>
      <c r="U15" s="2"/>
      <c r="V15" s="22"/>
      <c r="W15" s="2"/>
      <c r="X15" s="2">
        <f t="shared" si="2"/>
        <v>320631.62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--18.37</f>
        <v>18.37</v>
      </c>
      <c r="E21" s="2"/>
      <c r="F21" s="22"/>
      <c r="G21" s="2"/>
      <c r="H21" s="2"/>
      <c r="I21" s="2"/>
      <c r="J21" s="22"/>
      <c r="K21" s="2"/>
      <c r="L21" s="2">
        <f t="shared" si="0"/>
        <v>18.37</v>
      </c>
      <c r="M21" s="2"/>
      <c r="N21" s="22">
        <f t="shared" si="1"/>
        <v>0</v>
      </c>
      <c r="O21" s="11"/>
      <c r="P21" s="2">
        <f>--297.2</f>
        <v>297.2</v>
      </c>
      <c r="Q21" s="2"/>
      <c r="R21" s="22"/>
      <c r="S21" s="2"/>
      <c r="T21" s="2"/>
      <c r="U21" s="2"/>
      <c r="V21" s="22"/>
      <c r="W21" s="2"/>
      <c r="X21" s="2">
        <f t="shared" si="2"/>
        <v>297.2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--1716.97</f>
        <v>1716.97</v>
      </c>
      <c r="E22" s="2"/>
      <c r="F22" s="22"/>
      <c r="G22" s="2"/>
      <c r="H22" s="2"/>
      <c r="I22" s="2"/>
      <c r="J22" s="22"/>
      <c r="K22" s="2"/>
      <c r="L22" s="2">
        <f t="shared" si="0"/>
        <v>1716.97</v>
      </c>
      <c r="M22" s="2"/>
      <c r="N22" s="22">
        <f t="shared" si="1"/>
        <v>0</v>
      </c>
      <c r="O22" s="11"/>
      <c r="P22" s="2">
        <f>--36720.47</f>
        <v>36720.47</v>
      </c>
      <c r="Q22" s="2"/>
      <c r="R22" s="22"/>
      <c r="S22" s="2"/>
      <c r="T22" s="2"/>
      <c r="U22" s="2"/>
      <c r="V22" s="22"/>
      <c r="W22" s="2"/>
      <c r="X22" s="2">
        <f t="shared" si="2"/>
        <v>36720.47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--1730.73</f>
        <v>1730.73</v>
      </c>
      <c r="E23" s="2"/>
      <c r="F23" s="22"/>
      <c r="G23" s="2"/>
      <c r="H23" s="2"/>
      <c r="I23" s="2"/>
      <c r="J23" s="22"/>
      <c r="K23" s="2"/>
      <c r="L23" s="2">
        <f t="shared" si="0"/>
        <v>1730.73</v>
      </c>
      <c r="M23" s="2"/>
      <c r="N23" s="22">
        <f t="shared" si="1"/>
        <v>0</v>
      </c>
      <c r="O23" s="11"/>
      <c r="P23" s="2">
        <f>--15999.58</f>
        <v>15999.58</v>
      </c>
      <c r="Q23" s="2"/>
      <c r="R23" s="22"/>
      <c r="S23" s="2"/>
      <c r="T23" s="2"/>
      <c r="U23" s="2"/>
      <c r="V23" s="22"/>
      <c r="W23" s="2"/>
      <c r="X23" s="2">
        <f t="shared" si="2"/>
        <v>15999.58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--194.65</f>
        <v>194.65</v>
      </c>
      <c r="E24" s="2"/>
      <c r="F24" s="22"/>
      <c r="G24" s="2"/>
      <c r="H24" s="2"/>
      <c r="I24" s="2"/>
      <c r="J24" s="22"/>
      <c r="K24" s="2"/>
      <c r="L24" s="2">
        <f t="shared" si="0"/>
        <v>194.65</v>
      </c>
      <c r="M24" s="2"/>
      <c r="N24" s="22">
        <f t="shared" si="1"/>
        <v>0</v>
      </c>
      <c r="O24" s="11"/>
      <c r="P24" s="2">
        <f>--1862.61</f>
        <v>1862.61</v>
      </c>
      <c r="Q24" s="2"/>
      <c r="R24" s="22"/>
      <c r="S24" s="2"/>
      <c r="T24" s="2"/>
      <c r="U24" s="2"/>
      <c r="V24" s="22"/>
      <c r="W24" s="2"/>
      <c r="X24" s="2">
        <f t="shared" si="2"/>
        <v>1862.61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6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6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--40927.79</f>
        <v>40927.79</v>
      </c>
      <c r="E27" s="2"/>
      <c r="F27" s="22"/>
      <c r="G27" s="2"/>
      <c r="H27" s="2"/>
      <c r="I27" s="2"/>
      <c r="J27" s="22"/>
      <c r="K27" s="2"/>
      <c r="L27" s="2">
        <f t="shared" si="0"/>
        <v>40927.79</v>
      </c>
      <c r="M27" s="2"/>
      <c r="N27" s="22">
        <f t="shared" si="1"/>
        <v>0</v>
      </c>
      <c r="O27" s="11"/>
      <c r="P27" s="2">
        <f>--423732.7</f>
        <v>423732.7</v>
      </c>
      <c r="Q27" s="2"/>
      <c r="R27" s="22"/>
      <c r="S27" s="2"/>
      <c r="T27" s="2"/>
      <c r="U27" s="2"/>
      <c r="V27" s="22"/>
      <c r="W27" s="2"/>
      <c r="X27" s="2">
        <f t="shared" si="2"/>
        <v>423732.7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--12313.27</f>
        <v>12313.27</v>
      </c>
      <c r="E28" s="2"/>
      <c r="F28" s="22"/>
      <c r="G28" s="2"/>
      <c r="H28" s="2"/>
      <c r="I28" s="2"/>
      <c r="J28" s="22"/>
      <c r="K28" s="2"/>
      <c r="L28" s="2">
        <f t="shared" si="0"/>
        <v>12313.27</v>
      </c>
      <c r="M28" s="2"/>
      <c r="N28" s="22">
        <f t="shared" si="1"/>
        <v>0</v>
      </c>
      <c r="O28" s="11"/>
      <c r="P28" s="2">
        <f>--165400.49</f>
        <v>165400.49</v>
      </c>
      <c r="Q28" s="2"/>
      <c r="R28" s="22"/>
      <c r="S28" s="2"/>
      <c r="T28" s="2"/>
      <c r="U28" s="2"/>
      <c r="V28" s="22"/>
      <c r="W28" s="2"/>
      <c r="X28" s="2">
        <f t="shared" si="2"/>
        <v>165400.49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--2095.44</f>
        <v>2095.44</v>
      </c>
      <c r="E29" s="2"/>
      <c r="F29" s="22"/>
      <c r="G29" s="2"/>
      <c r="H29" s="2"/>
      <c r="I29" s="2"/>
      <c r="J29" s="22"/>
      <c r="K29" s="2"/>
      <c r="L29" s="2">
        <f t="shared" si="0"/>
        <v>2095.44</v>
      </c>
      <c r="M29" s="2"/>
      <c r="N29" s="22">
        <f t="shared" si="1"/>
        <v>0</v>
      </c>
      <c r="O29" s="11"/>
      <c r="P29" s="2">
        <f>--56879.12</f>
        <v>56879.12</v>
      </c>
      <c r="Q29" s="2"/>
      <c r="R29" s="22"/>
      <c r="S29" s="2"/>
      <c r="T29" s="2"/>
      <c r="U29" s="2"/>
      <c r="V29" s="22"/>
      <c r="W29" s="2"/>
      <c r="X29" s="2">
        <f t="shared" si="2"/>
        <v>56879.12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--16932.18</f>
        <v>16932.18</v>
      </c>
      <c r="E30" s="2"/>
      <c r="F30" s="22"/>
      <c r="G30" s="2"/>
      <c r="H30" s="2"/>
      <c r="I30" s="2"/>
      <c r="J30" s="22"/>
      <c r="K30" s="2"/>
      <c r="L30" s="2">
        <f t="shared" si="0"/>
        <v>16932.18</v>
      </c>
      <c r="M30" s="2"/>
      <c r="N30" s="22">
        <f t="shared" si="1"/>
        <v>0</v>
      </c>
      <c r="O30" s="11"/>
      <c r="P30" s="2">
        <f>--57178.22</f>
        <v>57178.22</v>
      </c>
      <c r="Q30" s="2"/>
      <c r="R30" s="22"/>
      <c r="S30" s="2"/>
      <c r="T30" s="2"/>
      <c r="U30" s="2"/>
      <c r="V30" s="22"/>
      <c r="W30" s="2"/>
      <c r="X30" s="2">
        <f t="shared" si="2"/>
        <v>57178.22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--2517.35</f>
        <v>2517.35</v>
      </c>
      <c r="E31" s="2"/>
      <c r="F31" s="22"/>
      <c r="G31" s="2"/>
      <c r="H31" s="2"/>
      <c r="I31" s="2"/>
      <c r="J31" s="22"/>
      <c r="K31" s="2"/>
      <c r="L31" s="2">
        <f t="shared" si="0"/>
        <v>2517.35</v>
      </c>
      <c r="M31" s="2"/>
      <c r="N31" s="22">
        <f t="shared" si="1"/>
        <v>0</v>
      </c>
      <c r="O31" s="11"/>
      <c r="P31" s="2">
        <f>--15006.51</f>
        <v>15006.51</v>
      </c>
      <c r="Q31" s="2"/>
      <c r="R31" s="22"/>
      <c r="S31" s="2"/>
      <c r="T31" s="2"/>
      <c r="U31" s="2"/>
      <c r="V31" s="22"/>
      <c r="W31" s="2"/>
      <c r="X31" s="2">
        <f t="shared" si="2"/>
        <v>15006.51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--11255.56</f>
        <v>11255.56</v>
      </c>
      <c r="E32" s="2"/>
      <c r="F32" s="22"/>
      <c r="G32" s="2"/>
      <c r="H32" s="2"/>
      <c r="I32" s="2"/>
      <c r="J32" s="22"/>
      <c r="K32" s="2"/>
      <c r="L32" s="2">
        <f t="shared" si="0"/>
        <v>11255.56</v>
      </c>
      <c r="M32" s="2"/>
      <c r="N32" s="22">
        <f t="shared" si="1"/>
        <v>0</v>
      </c>
      <c r="O32" s="11"/>
      <c r="P32" s="2">
        <f>--108212.17</f>
        <v>108212.17</v>
      </c>
      <c r="Q32" s="2"/>
      <c r="R32" s="22"/>
      <c r="S32" s="2"/>
      <c r="T32" s="2"/>
      <c r="U32" s="2"/>
      <c r="V32" s="22"/>
      <c r="W32" s="2"/>
      <c r="X32" s="2">
        <f t="shared" si="2"/>
        <v>108212.17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7"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7"/>
        <v>0</v>
      </c>
      <c r="E34" s="2"/>
      <c r="F34" s="22"/>
      <c r="G34" s="2"/>
      <c r="H34" s="2"/>
      <c r="I34" s="2"/>
      <c r="J34" s="22"/>
      <c r="K34" s="2"/>
      <c r="L34" s="2">
        <f t="shared" si="0"/>
        <v>0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--1333.61</f>
        <v>1333.61</v>
      </c>
      <c r="E35" s="2"/>
      <c r="F35" s="22"/>
      <c r="G35" s="2"/>
      <c r="H35" s="2">
        <v>47304</v>
      </c>
      <c r="I35" s="2"/>
      <c r="J35" s="22"/>
      <c r="K35" s="2"/>
      <c r="L35" s="2">
        <f t="shared" si="0"/>
        <v>-45970.39</v>
      </c>
      <c r="M35" s="2"/>
      <c r="N35" s="22">
        <f t="shared" si="1"/>
        <v>-0.97180766954168785</v>
      </c>
      <c r="O35" s="11"/>
      <c r="P35" s="2">
        <f>--165813.42</f>
        <v>165813.42000000001</v>
      </c>
      <c r="Q35" s="2"/>
      <c r="R35" s="22"/>
      <c r="S35" s="2"/>
      <c r="T35" s="2">
        <v>202543</v>
      </c>
      <c r="U35" s="2"/>
      <c r="V35" s="22"/>
      <c r="W35" s="2"/>
      <c r="X35" s="2">
        <f t="shared" si="2"/>
        <v>-36729.579999999987</v>
      </c>
      <c r="Y35" s="2"/>
      <c r="Z35" s="22">
        <f t="shared" si="3"/>
        <v>-0.18134213475657016</v>
      </c>
    </row>
    <row r="36" spans="1:26" s="24" customFormat="1" hidden="1" outlineLevel="1" x14ac:dyDescent="0.2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--1270.83</f>
        <v>1270.83</v>
      </c>
      <c r="E36" s="2"/>
      <c r="F36" s="22"/>
      <c r="G36" s="2"/>
      <c r="H36" s="2"/>
      <c r="I36" s="2"/>
      <c r="J36" s="22"/>
      <c r="K36" s="2"/>
      <c r="L36" s="2">
        <f t="shared" si="0"/>
        <v>1270.83</v>
      </c>
      <c r="M36" s="2"/>
      <c r="N36" s="22">
        <f t="shared" si="1"/>
        <v>0</v>
      </c>
      <c r="O36" s="11"/>
      <c r="P36" s="2">
        <f>--78935.72</f>
        <v>78935.72</v>
      </c>
      <c r="Q36" s="2"/>
      <c r="R36" s="22"/>
      <c r="S36" s="2"/>
      <c r="T36" s="2"/>
      <c r="U36" s="2"/>
      <c r="V36" s="22"/>
      <c r="W36" s="2"/>
      <c r="X36" s="2">
        <f t="shared" si="2"/>
        <v>78935.72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--320.72</f>
        <v>320.72000000000003</v>
      </c>
      <c r="E37" s="2"/>
      <c r="F37" s="22"/>
      <c r="G37" s="2"/>
      <c r="H37" s="2"/>
      <c r="I37" s="2"/>
      <c r="J37" s="22"/>
      <c r="K37" s="2"/>
      <c r="L37" s="2">
        <f t="shared" si="0"/>
        <v>320.72000000000003</v>
      </c>
      <c r="M37" s="2"/>
      <c r="N37" s="22">
        <f t="shared" si="1"/>
        <v>0</v>
      </c>
      <c r="O37" s="11"/>
      <c r="P37" s="2">
        <f>--33033.19</f>
        <v>33033.19</v>
      </c>
      <c r="Q37" s="2"/>
      <c r="R37" s="22"/>
      <c r="S37" s="2"/>
      <c r="T37" s="2"/>
      <c r="U37" s="2"/>
      <c r="V37" s="22"/>
      <c r="W37" s="2"/>
      <c r="X37" s="2">
        <f t="shared" si="2"/>
        <v>33033.19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--284.97</f>
        <v>284.97000000000003</v>
      </c>
      <c r="Q38" s="2"/>
      <c r="R38" s="22"/>
      <c r="S38" s="2"/>
      <c r="T38" s="2"/>
      <c r="U38" s="2"/>
      <c r="V38" s="22"/>
      <c r="W38" s="2"/>
      <c r="X38" s="2">
        <f t="shared" si="2"/>
        <v>284.97000000000003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--1414.19</f>
        <v>1414.19</v>
      </c>
      <c r="E39" s="2"/>
      <c r="F39" s="22"/>
      <c r="G39" s="2"/>
      <c r="H39" s="2"/>
      <c r="I39" s="2"/>
      <c r="J39" s="22"/>
      <c r="K39" s="2"/>
      <c r="L39" s="2">
        <f t="shared" si="0"/>
        <v>1414.19</v>
      </c>
      <c r="M39" s="2"/>
      <c r="N39" s="22">
        <f t="shared" si="1"/>
        <v>0</v>
      </c>
      <c r="O39" s="11"/>
      <c r="P39" s="2">
        <f>--294889.71</f>
        <v>294889.71000000002</v>
      </c>
      <c r="Q39" s="2"/>
      <c r="R39" s="22"/>
      <c r="S39" s="2"/>
      <c r="T39" s="2"/>
      <c r="U39" s="2"/>
      <c r="V39" s="22"/>
      <c r="W39" s="2"/>
      <c r="X39" s="2">
        <f t="shared" si="2"/>
        <v>294889.71000000002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--630</f>
        <v>630</v>
      </c>
      <c r="E40" s="2"/>
      <c r="F40" s="22"/>
      <c r="G40" s="2"/>
      <c r="H40" s="2"/>
      <c r="I40" s="2"/>
      <c r="J40" s="22"/>
      <c r="K40" s="2"/>
      <c r="L40" s="2">
        <f t="shared" si="0"/>
        <v>630</v>
      </c>
      <c r="M40" s="2"/>
      <c r="N40" s="22">
        <f t="shared" si="1"/>
        <v>0</v>
      </c>
      <c r="O40" s="11"/>
      <c r="P40" s="2">
        <f>--2285.95</f>
        <v>2285.9499999999998</v>
      </c>
      <c r="Q40" s="2"/>
      <c r="R40" s="22"/>
      <c r="S40" s="2"/>
      <c r="T40" s="2"/>
      <c r="U40" s="2"/>
      <c r="V40" s="22"/>
      <c r="W40" s="2"/>
      <c r="X40" s="2">
        <f t="shared" si="2"/>
        <v>2285.9499999999998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>--27.8</f>
        <v>27.8</v>
      </c>
      <c r="E41" s="2"/>
      <c r="F41" s="22"/>
      <c r="G41" s="2"/>
      <c r="H41" s="2"/>
      <c r="I41" s="2"/>
      <c r="J41" s="22"/>
      <c r="K41" s="2"/>
      <c r="L41" s="2">
        <f t="shared" si="0"/>
        <v>27.8</v>
      </c>
      <c r="M41" s="2"/>
      <c r="N41" s="22">
        <f t="shared" si="1"/>
        <v>0</v>
      </c>
      <c r="O41" s="11"/>
      <c r="P41" s="2">
        <f>--233.43</f>
        <v>233.43</v>
      </c>
      <c r="Q41" s="2"/>
      <c r="R41" s="22"/>
      <c r="S41" s="2"/>
      <c r="T41" s="2"/>
      <c r="U41" s="2"/>
      <c r="V41" s="22"/>
      <c r="W41" s="2"/>
      <c r="X41" s="2">
        <f t="shared" si="2"/>
        <v>233.43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>0</f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--52.68</f>
        <v>52.68</v>
      </c>
      <c r="Q42" s="2"/>
      <c r="R42" s="22"/>
      <c r="S42" s="2"/>
      <c r="T42" s="2"/>
      <c r="U42" s="2"/>
      <c r="V42" s="22"/>
      <c r="W42" s="2"/>
      <c r="X42" s="2">
        <f t="shared" si="2"/>
        <v>52.68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--114.89</f>
        <v>114.89</v>
      </c>
      <c r="E43" s="2"/>
      <c r="F43" s="22"/>
      <c r="G43" s="2"/>
      <c r="H43" s="2"/>
      <c r="I43" s="2"/>
      <c r="J43" s="22"/>
      <c r="K43" s="2"/>
      <c r="L43" s="2">
        <f t="shared" si="0"/>
        <v>114.89</v>
      </c>
      <c r="M43" s="2"/>
      <c r="N43" s="22">
        <f t="shared" si="1"/>
        <v>0</v>
      </c>
      <c r="O43" s="11"/>
      <c r="P43" s="2">
        <f>--2946.58</f>
        <v>2946.58</v>
      </c>
      <c r="Q43" s="2"/>
      <c r="R43" s="22"/>
      <c r="S43" s="2"/>
      <c r="T43" s="2"/>
      <c r="U43" s="2"/>
      <c r="V43" s="22"/>
      <c r="W43" s="2"/>
      <c r="X43" s="2">
        <f t="shared" si="2"/>
        <v>2946.58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"4128", " - ", "NON-TAXABLE SALES-ART/TECH")</f>
        <v xml:space="preserve">          4128 - NON-TAXABLE SALES-ART/TECH</v>
      </c>
      <c r="C44" s="11"/>
      <c r="D44" s="2">
        <f>--24.78</f>
        <v>24.78</v>
      </c>
      <c r="E44" s="2"/>
      <c r="F44" s="22"/>
      <c r="G44" s="2"/>
      <c r="H44" s="2"/>
      <c r="I44" s="2"/>
      <c r="J44" s="22"/>
      <c r="K44" s="2"/>
      <c r="L44" s="2">
        <f t="shared" si="0"/>
        <v>24.78</v>
      </c>
      <c r="M44" s="2"/>
      <c r="N44" s="22">
        <f t="shared" si="1"/>
        <v>0</v>
      </c>
      <c r="O44" s="11"/>
      <c r="P44" s="2">
        <f>--24.78</f>
        <v>24.78</v>
      </c>
      <c r="Q44" s="2"/>
      <c r="R44" s="22"/>
      <c r="S44" s="2"/>
      <c r="T44" s="2"/>
      <c r="U44" s="2"/>
      <c r="V44" s="22"/>
      <c r="W44" s="2"/>
      <c r="X44" s="2">
        <f t="shared" si="2"/>
        <v>24.78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"4131", " - ", "NON-TAXABLE SALES-FOOD")</f>
        <v xml:space="preserve">          4131 - NON-TAXABLE SALES-FOOD</v>
      </c>
      <c r="C45" s="11"/>
      <c r="D45" s="2">
        <f>--983.89</f>
        <v>983.89</v>
      </c>
      <c r="E45" s="2"/>
      <c r="F45" s="22"/>
      <c r="G45" s="2"/>
      <c r="H45" s="2"/>
      <c r="I45" s="2"/>
      <c r="J45" s="22"/>
      <c r="K45" s="2"/>
      <c r="L45" s="2">
        <f t="shared" si="0"/>
        <v>983.89</v>
      </c>
      <c r="M45" s="2"/>
      <c r="N45" s="22">
        <f t="shared" si="1"/>
        <v>0</v>
      </c>
      <c r="O45" s="11"/>
      <c r="P45" s="2">
        <f>--6509.33</f>
        <v>6509.33</v>
      </c>
      <c r="Q45" s="2"/>
      <c r="R45" s="22"/>
      <c r="S45" s="2"/>
      <c r="T45" s="2"/>
      <c r="U45" s="2"/>
      <c r="V45" s="22"/>
      <c r="W45" s="2"/>
      <c r="X45" s="2">
        <f t="shared" si="2"/>
        <v>6509.33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8"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--2054.37</f>
        <v>2054.37</v>
      </c>
      <c r="Q46" s="2"/>
      <c r="R46" s="22"/>
      <c r="S46" s="2"/>
      <c r="T46" s="2"/>
      <c r="U46" s="2"/>
      <c r="V46" s="22"/>
      <c r="W46" s="2"/>
      <c r="X46" s="2">
        <f t="shared" si="2"/>
        <v>2054.37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8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--80.71</f>
        <v>80.709999999999994</v>
      </c>
      <c r="Q47" s="2"/>
      <c r="R47" s="22"/>
      <c r="S47" s="2"/>
      <c r="T47" s="2"/>
      <c r="U47" s="2"/>
      <c r="V47" s="22"/>
      <c r="W47" s="2"/>
      <c r="X47" s="2">
        <f t="shared" si="2"/>
        <v>80.709999999999994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8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--45.53</f>
        <v>45.53</v>
      </c>
      <c r="Q48" s="2"/>
      <c r="R48" s="22"/>
      <c r="S48" s="2"/>
      <c r="T48" s="2"/>
      <c r="U48" s="2"/>
      <c r="V48" s="22"/>
      <c r="W48" s="2"/>
      <c r="X48" s="2">
        <f t="shared" si="2"/>
        <v>45.53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8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--68.25</f>
        <v>68.25</v>
      </c>
      <c r="Q49" s="2"/>
      <c r="R49" s="22"/>
      <c r="S49" s="2"/>
      <c r="T49" s="2"/>
      <c r="U49" s="2"/>
      <c r="V49" s="22"/>
      <c r="W49" s="2"/>
      <c r="X49" s="2">
        <f t="shared" si="2"/>
        <v>68.25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--19704.79</f>
        <v>19704.79</v>
      </c>
      <c r="E50" s="2"/>
      <c r="F50" s="22"/>
      <c r="G50" s="2"/>
      <c r="H50" s="2"/>
      <c r="I50" s="2"/>
      <c r="J50" s="22"/>
      <c r="K50" s="2"/>
      <c r="L50" s="2">
        <f t="shared" si="0"/>
        <v>19704.79</v>
      </c>
      <c r="M50" s="2"/>
      <c r="N50" s="22">
        <f t="shared" si="1"/>
        <v>0</v>
      </c>
      <c r="O50" s="11"/>
      <c r="P50" s="2">
        <f>--50320.27</f>
        <v>50320.27</v>
      </c>
      <c r="Q50" s="2"/>
      <c r="R50" s="22"/>
      <c r="S50" s="2"/>
      <c r="T50" s="2"/>
      <c r="U50" s="2"/>
      <c r="V50" s="22"/>
      <c r="W50" s="2"/>
      <c r="X50" s="2">
        <f t="shared" si="2"/>
        <v>50320.27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--806.32</f>
        <v>806.32</v>
      </c>
      <c r="E51" s="2"/>
      <c r="F51" s="22"/>
      <c r="G51" s="2"/>
      <c r="H51" s="2"/>
      <c r="I51" s="2"/>
      <c r="J51" s="22"/>
      <c r="K51" s="2"/>
      <c r="L51" s="2">
        <f t="shared" si="0"/>
        <v>806.32</v>
      </c>
      <c r="M51" s="2"/>
      <c r="N51" s="22">
        <f t="shared" si="1"/>
        <v>0</v>
      </c>
      <c r="O51" s="11"/>
      <c r="P51" s="2">
        <f>--4189.02</f>
        <v>4189.0200000000004</v>
      </c>
      <c r="Q51" s="2"/>
      <c r="R51" s="22"/>
      <c r="S51" s="2"/>
      <c r="T51" s="2"/>
      <c r="U51" s="2"/>
      <c r="V51" s="22"/>
      <c r="W51" s="2"/>
      <c r="X51" s="2">
        <f t="shared" si="2"/>
        <v>4189.0200000000004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--887.78</f>
        <v>887.78</v>
      </c>
      <c r="E52" s="2"/>
      <c r="F52" s="22"/>
      <c r="G52" s="2"/>
      <c r="H52" s="2"/>
      <c r="I52" s="2"/>
      <c r="J52" s="22"/>
      <c r="K52" s="2"/>
      <c r="L52" s="2">
        <f t="shared" si="0"/>
        <v>887.78</v>
      </c>
      <c r="M52" s="2"/>
      <c r="N52" s="22">
        <f t="shared" si="1"/>
        <v>0</v>
      </c>
      <c r="O52" s="11"/>
      <c r="P52" s="2">
        <f>--2208.19</f>
        <v>2208.19</v>
      </c>
      <c r="Q52" s="2"/>
      <c r="R52" s="22"/>
      <c r="S52" s="2"/>
      <c r="T52" s="2"/>
      <c r="U52" s="2"/>
      <c r="V52" s="22"/>
      <c r="W52" s="2"/>
      <c r="X52" s="2">
        <f t="shared" si="2"/>
        <v>2208.19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"4143", " - ", "NON-TAXABLE SALES-CARDS")</f>
        <v xml:space="preserve">          4143 - NON-TAXABLE SALES-CARDS</v>
      </c>
      <c r="C53" s="11"/>
      <c r="D53" s="2">
        <f>--9.99</f>
        <v>9.99</v>
      </c>
      <c r="E53" s="2"/>
      <c r="F53" s="22"/>
      <c r="G53" s="2"/>
      <c r="H53" s="2"/>
      <c r="I53" s="2"/>
      <c r="J53" s="22"/>
      <c r="K53" s="2"/>
      <c r="L53" s="2">
        <f t="shared" si="0"/>
        <v>9.99</v>
      </c>
      <c r="M53" s="2"/>
      <c r="N53" s="22">
        <f t="shared" si="1"/>
        <v>0</v>
      </c>
      <c r="O53" s="11"/>
      <c r="P53" s="2">
        <f>--39.96</f>
        <v>39.96</v>
      </c>
      <c r="Q53" s="2"/>
      <c r="R53" s="22"/>
      <c r="S53" s="2"/>
      <c r="T53" s="2"/>
      <c r="U53" s="2"/>
      <c r="V53" s="22"/>
      <c r="W53" s="2"/>
      <c r="X53" s="2">
        <f t="shared" si="2"/>
        <v>39.96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--19.95</f>
        <v>19.95</v>
      </c>
      <c r="E54" s="2"/>
      <c r="F54" s="22"/>
      <c r="G54" s="2"/>
      <c r="H54" s="2"/>
      <c r="I54" s="2"/>
      <c r="J54" s="22"/>
      <c r="K54" s="2"/>
      <c r="L54" s="2">
        <f t="shared" si="0"/>
        <v>19.95</v>
      </c>
      <c r="M54" s="2"/>
      <c r="N54" s="22">
        <f t="shared" si="1"/>
        <v>0</v>
      </c>
      <c r="O54" s="11"/>
      <c r="P54" s="2">
        <f>--389.7</f>
        <v>389.7</v>
      </c>
      <c r="Q54" s="2"/>
      <c r="R54" s="22"/>
      <c r="S54" s="2"/>
      <c r="T54" s="2"/>
      <c r="U54" s="2"/>
      <c r="V54" s="22"/>
      <c r="W54" s="2"/>
      <c r="X54" s="2">
        <f t="shared" si="2"/>
        <v>389.7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--2800</f>
        <v>2800</v>
      </c>
      <c r="E55" s="2"/>
      <c r="F55" s="22"/>
      <c r="G55" s="2"/>
      <c r="H55" s="2"/>
      <c r="I55" s="2"/>
      <c r="J55" s="22"/>
      <c r="K55" s="2"/>
      <c r="L55" s="2">
        <f t="shared" si="0"/>
        <v>2800</v>
      </c>
      <c r="M55" s="2"/>
      <c r="N55" s="22">
        <f t="shared" si="1"/>
        <v>0</v>
      </c>
      <c r="O55" s="11"/>
      <c r="P55" s="2">
        <f>--38646</f>
        <v>38646</v>
      </c>
      <c r="Q55" s="2"/>
      <c r="R55" s="22"/>
      <c r="S55" s="2"/>
      <c r="T55" s="2"/>
      <c r="U55" s="2"/>
      <c r="V55" s="22"/>
      <c r="W55" s="2"/>
      <c r="X55" s="2">
        <f t="shared" si="2"/>
        <v>38646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--21.5</f>
        <v>21.5</v>
      </c>
      <c r="E56" s="2"/>
      <c r="F56" s="22"/>
      <c r="G56" s="2"/>
      <c r="H56" s="2"/>
      <c r="I56" s="2"/>
      <c r="J56" s="22"/>
      <c r="K56" s="2"/>
      <c r="L56" s="2">
        <f t="shared" si="0"/>
        <v>21.5</v>
      </c>
      <c r="M56" s="2"/>
      <c r="N56" s="22">
        <f t="shared" si="1"/>
        <v>0</v>
      </c>
      <c r="O56" s="11"/>
      <c r="P56" s="2">
        <f>--108</f>
        <v>108</v>
      </c>
      <c r="Q56" s="2"/>
      <c r="R56" s="22"/>
      <c r="S56" s="2"/>
      <c r="T56" s="2"/>
      <c r="U56" s="2"/>
      <c r="V56" s="22"/>
      <c r="W56" s="2"/>
      <c r="X56" s="2">
        <f t="shared" si="2"/>
        <v>108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"4147", " - ", "NON-TAXABLE SALES-MISC")</f>
        <v xml:space="preserve">          4147 - NON-TAXABLE SALES-MISC</v>
      </c>
      <c r="C57" s="11"/>
      <c r="D57" s="2">
        <f>--5</f>
        <v>5</v>
      </c>
      <c r="E57" s="2"/>
      <c r="F57" s="22"/>
      <c r="G57" s="2"/>
      <c r="H57" s="2"/>
      <c r="I57" s="2"/>
      <c r="J57" s="22"/>
      <c r="K57" s="2"/>
      <c r="L57" s="2">
        <f t="shared" si="0"/>
        <v>5</v>
      </c>
      <c r="M57" s="2"/>
      <c r="N57" s="22">
        <f t="shared" si="1"/>
        <v>0</v>
      </c>
      <c r="O57" s="11"/>
      <c r="P57" s="2">
        <f>--91.5</f>
        <v>91.5</v>
      </c>
      <c r="Q57" s="2"/>
      <c r="R57" s="22"/>
      <c r="S57" s="2"/>
      <c r="T57" s="2"/>
      <c r="U57" s="2"/>
      <c r="V57" s="22"/>
      <c r="W57" s="2"/>
      <c r="X57" s="2">
        <f t="shared" si="2"/>
        <v>91.5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"4153", " - ", "NON-TAXABLE SALES-FOOD")</f>
        <v xml:space="preserve">          4153 - NON-TAXABLE SALES-FOOD</v>
      </c>
      <c r="C58" s="11"/>
      <c r="D58" s="2">
        <f>0</f>
        <v>0</v>
      </c>
      <c r="E58" s="2"/>
      <c r="F58" s="22"/>
      <c r="G58" s="2"/>
      <c r="H58" s="2"/>
      <c r="I58" s="2"/>
      <c r="J58" s="22"/>
      <c r="K58" s="2"/>
      <c r="L58" s="2">
        <f t="shared" si="0"/>
        <v>0</v>
      </c>
      <c r="M58" s="2"/>
      <c r="N58" s="22">
        <f t="shared" si="1"/>
        <v>0</v>
      </c>
      <c r="O58" s="11"/>
      <c r="P58" s="2">
        <f>--110</f>
        <v>110</v>
      </c>
      <c r="Q58" s="2"/>
      <c r="R58" s="22"/>
      <c r="S58" s="2"/>
      <c r="T58" s="2"/>
      <c r="U58" s="2"/>
      <c r="V58" s="22"/>
      <c r="W58" s="2"/>
      <c r="X58" s="2">
        <f t="shared" si="2"/>
        <v>110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"4201", " - ", "SALES RETURN TAXABLE-NEW TEXT")</f>
        <v xml:space="preserve">          4201 - SALES RETURN TAXABLE-NEW TEXT</v>
      </c>
      <c r="C59" s="11"/>
      <c r="D59" s="2">
        <f>-1333.42</f>
        <v>-1333.42</v>
      </c>
      <c r="E59" s="2"/>
      <c r="F59" s="22"/>
      <c r="G59" s="2"/>
      <c r="H59" s="2"/>
      <c r="I59" s="2"/>
      <c r="J59" s="22"/>
      <c r="K59" s="2"/>
      <c r="L59" s="2">
        <f t="shared" si="0"/>
        <v>-1333.42</v>
      </c>
      <c r="M59" s="2"/>
      <c r="N59" s="22">
        <f t="shared" si="1"/>
        <v>0</v>
      </c>
      <c r="O59" s="11"/>
      <c r="P59" s="2">
        <f>-35094.66</f>
        <v>-35094.660000000003</v>
      </c>
      <c r="Q59" s="2"/>
      <c r="R59" s="22"/>
      <c r="S59" s="2"/>
      <c r="T59" s="2"/>
      <c r="U59" s="2"/>
      <c r="V59" s="22"/>
      <c r="W59" s="2"/>
      <c r="X59" s="2">
        <f t="shared" si="2"/>
        <v>-35094.660000000003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"4202", " - ", "SALES RETURN TAXABLE-USED TEXT")</f>
        <v xml:space="preserve">          4202 - SALES RETURN TAXABLE-USED TEXT</v>
      </c>
      <c r="C60" s="11"/>
      <c r="D60" s="2">
        <f>-3274.35</f>
        <v>-3274.35</v>
      </c>
      <c r="E60" s="2"/>
      <c r="F60" s="22"/>
      <c r="G60" s="2"/>
      <c r="H60" s="2"/>
      <c r="I60" s="2"/>
      <c r="J60" s="22"/>
      <c r="K60" s="2"/>
      <c r="L60" s="2">
        <f t="shared" si="0"/>
        <v>-3274.35</v>
      </c>
      <c r="M60" s="2"/>
      <c r="N60" s="22">
        <f t="shared" si="1"/>
        <v>0</v>
      </c>
      <c r="O60" s="11"/>
      <c r="P60" s="2">
        <f>-13803.35</f>
        <v>-13803.35</v>
      </c>
      <c r="Q60" s="2"/>
      <c r="R60" s="22"/>
      <c r="S60" s="2"/>
      <c r="T60" s="2"/>
      <c r="U60" s="2"/>
      <c r="V60" s="22"/>
      <c r="W60" s="2"/>
      <c r="X60" s="2">
        <f t="shared" si="2"/>
        <v>-13803.35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"4204", " - ", "SALES RETURN TAXABLE-DIGITAL T")</f>
        <v xml:space="preserve">          4204 - SALES RETURN TAXABLE-DIGITAL T</v>
      </c>
      <c r="C61" s="11"/>
      <c r="D61" s="2">
        <f t="shared" ref="D61:D62" si="9">0</f>
        <v>0</v>
      </c>
      <c r="E61" s="2"/>
      <c r="F61" s="22"/>
      <c r="G61" s="2"/>
      <c r="H61" s="2"/>
      <c r="I61" s="2"/>
      <c r="J61" s="22"/>
      <c r="K61" s="2"/>
      <c r="L61" s="2">
        <f t="shared" si="0"/>
        <v>0</v>
      </c>
      <c r="M61" s="2"/>
      <c r="N61" s="22">
        <f t="shared" si="1"/>
        <v>0</v>
      </c>
      <c r="O61" s="11"/>
      <c r="P61" s="2">
        <f>-1630.85</f>
        <v>-1630.85</v>
      </c>
      <c r="Q61" s="2"/>
      <c r="R61" s="22"/>
      <c r="S61" s="2"/>
      <c r="T61" s="2"/>
      <c r="U61" s="2"/>
      <c r="V61" s="22"/>
      <c r="W61" s="2"/>
      <c r="X61" s="2">
        <f t="shared" si="2"/>
        <v>-1630.85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"4226", " - ", "SALES RETURN TAXABLE-WRITING I")</f>
        <v xml:space="preserve">          4226 - SALES RETURN TAXABLE-WRITING I</v>
      </c>
      <c r="C62" s="11"/>
      <c r="D62" s="2">
        <f t="shared" si="9"/>
        <v>0</v>
      </c>
      <c r="E62" s="2"/>
      <c r="F62" s="22"/>
      <c r="G62" s="2"/>
      <c r="H62" s="2"/>
      <c r="I62" s="2"/>
      <c r="J62" s="22"/>
      <c r="K62" s="2"/>
      <c r="L62" s="2">
        <f t="shared" si="0"/>
        <v>0</v>
      </c>
      <c r="M62" s="2"/>
      <c r="N62" s="22">
        <f t="shared" si="1"/>
        <v>0</v>
      </c>
      <c r="O62" s="11"/>
      <c r="P62" s="2">
        <f>-34.23</f>
        <v>-34.229999999999997</v>
      </c>
      <c r="Q62" s="2"/>
      <c r="R62" s="22"/>
      <c r="S62" s="2"/>
      <c r="T62" s="2"/>
      <c r="U62" s="2"/>
      <c r="V62" s="22"/>
      <c r="W62" s="2"/>
      <c r="X62" s="2">
        <f t="shared" si="2"/>
        <v>-34.229999999999997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"4227", " - ", "SALES RETURN TAXABLE-SCHOOL SU")</f>
        <v xml:space="preserve">          4227 - SALES RETURN TAXABLE-SCHOOL SU</v>
      </c>
      <c r="C63" s="11"/>
      <c r="D63" s="2">
        <f>-31.98</f>
        <v>-31.98</v>
      </c>
      <c r="E63" s="2"/>
      <c r="F63" s="22"/>
      <c r="G63" s="2"/>
      <c r="H63" s="2"/>
      <c r="I63" s="2"/>
      <c r="J63" s="22"/>
      <c r="K63" s="2"/>
      <c r="L63" s="2">
        <f t="shared" si="0"/>
        <v>-31.98</v>
      </c>
      <c r="M63" s="2"/>
      <c r="N63" s="22">
        <f t="shared" si="1"/>
        <v>0</v>
      </c>
      <c r="O63" s="11"/>
      <c r="P63" s="2">
        <f>-610.64</f>
        <v>-610.64</v>
      </c>
      <c r="Q63" s="2"/>
      <c r="R63" s="22"/>
      <c r="S63" s="2"/>
      <c r="T63" s="2"/>
      <c r="U63" s="2"/>
      <c r="V63" s="22"/>
      <c r="W63" s="2"/>
      <c r="X63" s="2">
        <f t="shared" si="2"/>
        <v>-610.64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"4228", " - ", "SALES RETURN TAXABLE-ART/TECH")</f>
        <v xml:space="preserve">          4228 - SALES RETURN TAXABLE-ART/TECH</v>
      </c>
      <c r="C64" s="11"/>
      <c r="D64" s="2">
        <f>-32.49</f>
        <v>-32.49</v>
      </c>
      <c r="E64" s="2"/>
      <c r="F64" s="22"/>
      <c r="G64" s="2"/>
      <c r="H64" s="2"/>
      <c r="I64" s="2"/>
      <c r="J64" s="22"/>
      <c r="K64" s="2"/>
      <c r="L64" s="2">
        <f t="shared" si="0"/>
        <v>-32.49</v>
      </c>
      <c r="M64" s="2"/>
      <c r="N64" s="22">
        <f t="shared" si="1"/>
        <v>0</v>
      </c>
      <c r="O64" s="11"/>
      <c r="P64" s="2">
        <f>-254.69</f>
        <v>-254.69</v>
      </c>
      <c r="Q64" s="2"/>
      <c r="R64" s="22"/>
      <c r="S64" s="2"/>
      <c r="T64" s="2"/>
      <c r="U64" s="2"/>
      <c r="V64" s="22"/>
      <c r="W64" s="2"/>
      <c r="X64" s="2">
        <f t="shared" si="2"/>
        <v>-254.69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"4240", " - ", "SALES RETURN TAXABLE-LOGO CLOT")</f>
        <v xml:space="preserve">          4240 - SALES RETURN TAXABLE-LOGO CLOT</v>
      </c>
      <c r="C65" s="11"/>
      <c r="D65" s="2">
        <f>-1729.15</f>
        <v>-1729.15</v>
      </c>
      <c r="E65" s="2"/>
      <c r="F65" s="22"/>
      <c r="G65" s="2"/>
      <c r="H65" s="2"/>
      <c r="I65" s="2"/>
      <c r="J65" s="22"/>
      <c r="K65" s="2"/>
      <c r="L65" s="2">
        <f t="shared" si="0"/>
        <v>-1729.15</v>
      </c>
      <c r="M65" s="2"/>
      <c r="N65" s="22">
        <f t="shared" si="1"/>
        <v>0</v>
      </c>
      <c r="O65" s="11"/>
      <c r="P65" s="2">
        <f>-15578.67</f>
        <v>-15578.67</v>
      </c>
      <c r="Q65" s="2"/>
      <c r="R65" s="22"/>
      <c r="S65" s="2"/>
      <c r="T65" s="2"/>
      <c r="U65" s="2"/>
      <c r="V65" s="22"/>
      <c r="W65" s="2"/>
      <c r="X65" s="2">
        <f t="shared" si="2"/>
        <v>-15578.67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"4241", " - ", "SALES RETURN TAXABLE-LOGO GIFT")</f>
        <v xml:space="preserve">          4241 - SALES RETURN TAXABLE-LOGO GIFT</v>
      </c>
      <c r="C66" s="11"/>
      <c r="D66" s="2">
        <f>-108.29</f>
        <v>-108.29</v>
      </c>
      <c r="E66" s="2"/>
      <c r="F66" s="22"/>
      <c r="G66" s="2"/>
      <c r="H66" s="2"/>
      <c r="I66" s="2"/>
      <c r="J66" s="22"/>
      <c r="K66" s="2"/>
      <c r="L66" s="2">
        <f t="shared" si="0"/>
        <v>-108.29</v>
      </c>
      <c r="M66" s="2"/>
      <c r="N66" s="22">
        <f t="shared" si="1"/>
        <v>0</v>
      </c>
      <c r="O66" s="11"/>
      <c r="P66" s="2">
        <f>-2804.85</f>
        <v>-2804.85</v>
      </c>
      <c r="Q66" s="2"/>
      <c r="R66" s="22"/>
      <c r="S66" s="2"/>
      <c r="T66" s="2"/>
      <c r="U66" s="2"/>
      <c r="V66" s="22"/>
      <c r="W66" s="2"/>
      <c r="X66" s="2">
        <f t="shared" si="2"/>
        <v>-2804.85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"4242", " - ", "SALES RETURN TAXABLE-EVERYDAY")</f>
        <v xml:space="preserve">          4242 - SALES RETURN TAXABLE-EVERYDAY</v>
      </c>
      <c r="C67" s="11"/>
      <c r="D67" s="2">
        <f>-7.48</f>
        <v>-7.48</v>
      </c>
      <c r="E67" s="2"/>
      <c r="F67" s="22"/>
      <c r="G67" s="2"/>
      <c r="H67" s="2"/>
      <c r="I67" s="2"/>
      <c r="J67" s="22"/>
      <c r="K67" s="2"/>
      <c r="L67" s="2">
        <f t="shared" si="0"/>
        <v>-7.48</v>
      </c>
      <c r="M67" s="2"/>
      <c r="N67" s="22">
        <f t="shared" si="1"/>
        <v>0</v>
      </c>
      <c r="O67" s="11"/>
      <c r="P67" s="2">
        <f>-1328.99</f>
        <v>-1328.99</v>
      </c>
      <c r="Q67" s="2"/>
      <c r="R67" s="22"/>
      <c r="S67" s="2"/>
      <c r="T67" s="2"/>
      <c r="U67" s="2"/>
      <c r="V67" s="22"/>
      <c r="W67" s="2"/>
      <c r="X67" s="2">
        <f t="shared" si="2"/>
        <v>-1328.99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"4243", " - ", "SALES RETURN TAXABLE-CARDS")</f>
        <v xml:space="preserve">          4243 - SALES RETURN TAXABLE-CARDS</v>
      </c>
      <c r="C68" s="11"/>
      <c r="D68" s="2">
        <f>-829.54</f>
        <v>-829.54</v>
      </c>
      <c r="E68" s="2"/>
      <c r="F68" s="22"/>
      <c r="G68" s="2"/>
      <c r="H68" s="2"/>
      <c r="I68" s="2"/>
      <c r="J68" s="22"/>
      <c r="K68" s="2"/>
      <c r="L68" s="2">
        <f t="shared" si="0"/>
        <v>-829.54</v>
      </c>
      <c r="M68" s="2"/>
      <c r="N68" s="22">
        <f t="shared" si="1"/>
        <v>0</v>
      </c>
      <c r="O68" s="11"/>
      <c r="P68" s="2">
        <f>-1812.46</f>
        <v>-1812.46</v>
      </c>
      <c r="Q68" s="2"/>
      <c r="R68" s="22"/>
      <c r="S68" s="2"/>
      <c r="T68" s="2"/>
      <c r="U68" s="2"/>
      <c r="V68" s="22"/>
      <c r="W68" s="2"/>
      <c r="X68" s="2">
        <f t="shared" si="2"/>
        <v>-1812.46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"4244", " - ", "SALES RETURN TAXABLE-ACCESSORI")</f>
        <v xml:space="preserve">          4244 - SALES RETURN TAXABLE-ACCESSORI</v>
      </c>
      <c r="C69" s="11"/>
      <c r="D69" s="2">
        <f>-179.95</f>
        <v>-179.95</v>
      </c>
      <c r="E69" s="2"/>
      <c r="F69" s="22"/>
      <c r="G69" s="2"/>
      <c r="H69" s="2"/>
      <c r="I69" s="2"/>
      <c r="J69" s="22"/>
      <c r="K69" s="2"/>
      <c r="L69" s="2">
        <f t="shared" si="0"/>
        <v>-179.95</v>
      </c>
      <c r="M69" s="2"/>
      <c r="N69" s="22">
        <f t="shared" si="1"/>
        <v>0</v>
      </c>
      <c r="O69" s="11"/>
      <c r="P69" s="2">
        <f>-590.94</f>
        <v>-590.94000000000005</v>
      </c>
      <c r="Q69" s="2"/>
      <c r="R69" s="22"/>
      <c r="S69" s="2"/>
      <c r="T69" s="2"/>
      <c r="U69" s="2"/>
      <c r="V69" s="22"/>
      <c r="W69" s="2"/>
      <c r="X69" s="2">
        <f t="shared" si="2"/>
        <v>-590.94000000000005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"4245", " - ", "SALES RETURN TAXABLE-SPECIAL O")</f>
        <v xml:space="preserve">          4245 - SALES RETURN TAXABLE-SPECIAL O</v>
      </c>
      <c r="C70" s="11"/>
      <c r="D70" s="2">
        <f>-45.89</f>
        <v>-45.89</v>
      </c>
      <c r="E70" s="2"/>
      <c r="F70" s="22"/>
      <c r="G70" s="2"/>
      <c r="H70" s="2"/>
      <c r="I70" s="2"/>
      <c r="J70" s="22"/>
      <c r="K70" s="2"/>
      <c r="L70" s="2">
        <f t="shared" si="0"/>
        <v>-45.89</v>
      </c>
      <c r="M70" s="2"/>
      <c r="N70" s="22">
        <f t="shared" si="1"/>
        <v>0</v>
      </c>
      <c r="O70" s="11"/>
      <c r="P70" s="2">
        <f>-1592.82</f>
        <v>-1592.82</v>
      </c>
      <c r="Q70" s="2"/>
      <c r="R70" s="22"/>
      <c r="S70" s="2"/>
      <c r="T70" s="2"/>
      <c r="U70" s="2"/>
      <c r="V70" s="22"/>
      <c r="W70" s="2"/>
      <c r="X70" s="2">
        <f t="shared" si="2"/>
        <v>-1592.82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>0</f>
        <v>0</v>
      </c>
      <c r="E71" s="2"/>
      <c r="F71" s="22"/>
      <c r="G71" s="2"/>
      <c r="H71" s="2"/>
      <c r="I71" s="2"/>
      <c r="J71" s="22"/>
      <c r="K71" s="2"/>
      <c r="L71" s="2">
        <f t="shared" si="0"/>
        <v>0</v>
      </c>
      <c r="M71" s="2"/>
      <c r="N71" s="22">
        <f t="shared" si="1"/>
        <v>0</v>
      </c>
      <c r="O71" s="11"/>
      <c r="P71" s="2">
        <f>-2376.17</f>
        <v>-2376.17</v>
      </c>
      <c r="Q71" s="2"/>
      <c r="R71" s="22"/>
      <c r="S71" s="2"/>
      <c r="T71" s="2"/>
      <c r="U71" s="2"/>
      <c r="V71" s="22"/>
      <c r="W71" s="2"/>
      <c r="X71" s="2">
        <f t="shared" si="2"/>
        <v>-2376.17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>-76.05</f>
        <v>-76.05</v>
      </c>
      <c r="E72" s="2"/>
      <c r="F72" s="22"/>
      <c r="G72" s="2"/>
      <c r="H72" s="2"/>
      <c r="I72" s="2"/>
      <c r="J72" s="22"/>
      <c r="K72" s="2"/>
      <c r="L72" s="2">
        <f t="shared" si="0"/>
        <v>-76.05</v>
      </c>
      <c r="M72" s="2"/>
      <c r="N72" s="22">
        <f t="shared" si="1"/>
        <v>0</v>
      </c>
      <c r="O72" s="11"/>
      <c r="P72" s="2">
        <f>-1392.85</f>
        <v>-1392.85</v>
      </c>
      <c r="Q72" s="2"/>
      <c r="R72" s="22"/>
      <c r="S72" s="2"/>
      <c r="T72" s="2"/>
      <c r="U72" s="2"/>
      <c r="V72" s="22"/>
      <c r="W72" s="2"/>
      <c r="X72" s="2">
        <f t="shared" si="2"/>
        <v>-1392.85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>-176.43</f>
        <v>-176.43</v>
      </c>
      <c r="E73" s="2"/>
      <c r="F73" s="22"/>
      <c r="G73" s="2"/>
      <c r="H73" s="2"/>
      <c r="I73" s="2"/>
      <c r="J73" s="22"/>
      <c r="K73" s="2"/>
      <c r="L73" s="2">
        <f t="shared" si="0"/>
        <v>-176.43</v>
      </c>
      <c r="M73" s="2"/>
      <c r="N73" s="22">
        <f t="shared" si="1"/>
        <v>0</v>
      </c>
      <c r="O73" s="11"/>
      <c r="P73" s="2">
        <f>-14278.54</f>
        <v>-14278.54</v>
      </c>
      <c r="Q73" s="2"/>
      <c r="R73" s="22"/>
      <c r="S73" s="2"/>
      <c r="T73" s="2"/>
      <c r="U73" s="2"/>
      <c r="V73" s="22"/>
      <c r="W73" s="2"/>
      <c r="X73" s="2">
        <f t="shared" si="2"/>
        <v>-14278.54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>-203.75</f>
        <v>-203.75</v>
      </c>
      <c r="E74" s="2"/>
      <c r="F74" s="22"/>
      <c r="G74" s="2"/>
      <c r="H74" s="2"/>
      <c r="I74" s="2"/>
      <c r="J74" s="22"/>
      <c r="K74" s="2"/>
      <c r="L74" s="2">
        <f t="shared" si="0"/>
        <v>-203.75</v>
      </c>
      <c r="M74" s="2"/>
      <c r="N74" s="22">
        <f t="shared" si="1"/>
        <v>0</v>
      </c>
      <c r="O74" s="11"/>
      <c r="P74" s="2">
        <f>-940.48</f>
        <v>-940.48</v>
      </c>
      <c r="Q74" s="2"/>
      <c r="R74" s="22"/>
      <c r="S74" s="2"/>
      <c r="T74" s="2"/>
      <c r="U74" s="2"/>
      <c r="V74" s="22"/>
      <c r="W74" s="2"/>
      <c r="X74" s="2">
        <f t="shared" si="2"/>
        <v>-940.48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>-154.89</f>
        <v>-154.88999999999999</v>
      </c>
      <c r="E75" s="2"/>
      <c r="F75" s="22"/>
      <c r="G75" s="2"/>
      <c r="H75" s="2"/>
      <c r="I75" s="2"/>
      <c r="J75" s="22"/>
      <c r="K75" s="2"/>
      <c r="L75" s="2">
        <f t="shared" si="0"/>
        <v>-154.88999999999999</v>
      </c>
      <c r="M75" s="2"/>
      <c r="N75" s="22">
        <f t="shared" si="1"/>
        <v>0</v>
      </c>
      <c r="O75" s="11"/>
      <c r="P75" s="2">
        <f>-301.79</f>
        <v>-301.79000000000002</v>
      </c>
      <c r="Q75" s="2"/>
      <c r="R75" s="22"/>
      <c r="S75" s="2"/>
      <c r="T75" s="2"/>
      <c r="U75" s="2"/>
      <c r="V75" s="22"/>
      <c r="W75" s="2"/>
      <c r="X75" s="2">
        <f t="shared" si="2"/>
        <v>-301.79000000000002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>0</f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-118.7</f>
        <v>-118.7</v>
      </c>
      <c r="Q76" s="2"/>
      <c r="R76" s="22"/>
      <c r="S76" s="2"/>
      <c r="T76" s="2"/>
      <c r="U76" s="2"/>
      <c r="V76" s="22"/>
      <c r="W76" s="2"/>
      <c r="X76" s="2">
        <f t="shared" si="2"/>
        <v>-118.7</v>
      </c>
      <c r="Y76" s="2"/>
      <c r="Z76" s="22">
        <f t="shared" si="3"/>
        <v>0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collapsed="1" x14ac:dyDescent="0.25">
      <c r="A78" s="10"/>
      <c r="B78" s="26" t="s">
        <v>8</v>
      </c>
      <c r="C78" s="10"/>
      <c r="D78" s="4">
        <f>SUM(OSRRefD16x_0)</f>
        <v>61344.100000000013</v>
      </c>
      <c r="E78" s="4"/>
      <c r="F78" s="12">
        <f t="shared" ref="F78:F114" si="10">IF(D$12=0,0,D78/D$12)</f>
        <v>0.55278570415451878</v>
      </c>
      <c r="G78" s="4"/>
      <c r="H78" s="4">
        <f>SUM(OSRRefH16x_0)</f>
        <v>178382</v>
      </c>
      <c r="I78" s="4"/>
      <c r="J78" s="12">
        <f t="shared" ref="J78:J114" si="11">IF(H$12=0,0,H78/H$12)</f>
        <v>0.45418945481581063</v>
      </c>
      <c r="K78" s="4"/>
      <c r="L78" s="4">
        <f t="shared" ref="L78:L114" si="12">+D78-H78</f>
        <v>-117037.9</v>
      </c>
      <c r="M78" s="4"/>
      <c r="N78" s="12">
        <f t="shared" ref="N78:N114" si="13">IF(H78=0,0,L78/H78)</f>
        <v>-0.65610823962058951</v>
      </c>
      <c r="O78" s="10"/>
      <c r="P78" s="4">
        <f>SUM(OSRRefP16x_0)</f>
        <v>1610616.3700000003</v>
      </c>
      <c r="Q78" s="4"/>
      <c r="R78" s="12">
        <f t="shared" ref="R78:R114" si="14">IF(P$12=0,0,P78/P$12)</f>
        <v>0.65271370950180263</v>
      </c>
      <c r="S78" s="4"/>
      <c r="T78" s="4">
        <f>SUM(OSRRefT16x_0)</f>
        <v>2703060</v>
      </c>
      <c r="U78" s="4"/>
      <c r="V78" s="12">
        <f t="shared" ref="V78:V114" si="15">IF(T$12=0,0,T78/T$12)</f>
        <v>0.60045863091806817</v>
      </c>
      <c r="W78" s="4"/>
      <c r="X78" s="4">
        <f t="shared" ref="X78:X114" si="16">+P78-T78</f>
        <v>-1092443.6299999997</v>
      </c>
      <c r="Y78" s="4"/>
      <c r="Z78" s="12">
        <f t="shared" ref="Z78:Z114" si="17">IF(T78=0,0,X78/T78)</f>
        <v>-0.40415071437555944</v>
      </c>
    </row>
    <row r="79" spans="1:26" s="24" customFormat="1" hidden="1" outlineLevel="1" x14ac:dyDescent="0.25">
      <c r="A79" s="51"/>
      <c r="B79" s="11" t="str">
        <f>CONCATENATE("          ", "5000", " - ", "PURCHASES @ COST")</f>
        <v xml:space="preserve">          5000 - PURCHASES @ COST</v>
      </c>
      <c r="C79" s="11"/>
      <c r="D79" s="2"/>
      <c r="E79" s="2"/>
      <c r="F79" s="22">
        <f t="shared" si="10"/>
        <v>0</v>
      </c>
      <c r="G79" s="2"/>
      <c r="H79" s="2">
        <v>178382</v>
      </c>
      <c r="I79" s="2"/>
      <c r="J79" s="22">
        <f t="shared" si="11"/>
        <v>0.45418945481581063</v>
      </c>
      <c r="K79" s="2"/>
      <c r="L79" s="2">
        <f t="shared" si="12"/>
        <v>-178382</v>
      </c>
      <c r="M79" s="2"/>
      <c r="N79" s="22">
        <f t="shared" si="13"/>
        <v>-1</v>
      </c>
      <c r="O79" s="11"/>
      <c r="P79" s="2"/>
      <c r="Q79" s="2"/>
      <c r="R79" s="22">
        <f t="shared" si="14"/>
        <v>0</v>
      </c>
      <c r="S79" s="2"/>
      <c r="T79" s="2">
        <v>2703060</v>
      </c>
      <c r="U79" s="2"/>
      <c r="V79" s="22">
        <f t="shared" si="15"/>
        <v>0.60045863091806817</v>
      </c>
      <c r="W79" s="2"/>
      <c r="X79" s="2">
        <f t="shared" si="16"/>
        <v>-2703060</v>
      </c>
      <c r="Y79" s="2"/>
      <c r="Z79" s="22">
        <f t="shared" si="17"/>
        <v>-1</v>
      </c>
    </row>
    <row r="80" spans="1:26" s="24" customFormat="1" hidden="1" outlineLevel="1" x14ac:dyDescent="0.25">
      <c r="A80" s="51"/>
      <c r="B80" s="11" t="str">
        <f>CONCATENATE("          ", "5001", " - ", "PURCHASES @ COST-NEW TEXT")</f>
        <v xml:space="preserve">          5001 - PURCHASES @ COST-NEW TEXT</v>
      </c>
      <c r="C80" s="11"/>
      <c r="D80" s="2">
        <v>-108601.35</v>
      </c>
      <c r="E80" s="2"/>
      <c r="F80" s="22">
        <f t="shared" si="10"/>
        <v>-0.978631583671149</v>
      </c>
      <c r="G80" s="2"/>
      <c r="H80" s="2"/>
      <c r="I80" s="2"/>
      <c r="J80" s="22">
        <f t="shared" si="11"/>
        <v>0</v>
      </c>
      <c r="K80" s="2"/>
      <c r="L80" s="2">
        <f t="shared" si="12"/>
        <v>-108601.35</v>
      </c>
      <c r="M80" s="2"/>
      <c r="N80" s="22">
        <f t="shared" si="13"/>
        <v>0</v>
      </c>
      <c r="O80" s="11"/>
      <c r="P80" s="2">
        <v>1240595.48</v>
      </c>
      <c r="Q80" s="2"/>
      <c r="R80" s="22">
        <f t="shared" si="14"/>
        <v>0.50276011893631078</v>
      </c>
      <c r="S80" s="2"/>
      <c r="T80" s="2"/>
      <c r="U80" s="2"/>
      <c r="V80" s="22">
        <f t="shared" si="15"/>
        <v>0</v>
      </c>
      <c r="W80" s="2"/>
      <c r="X80" s="2">
        <f t="shared" si="16"/>
        <v>1240595.48</v>
      </c>
      <c r="Y80" s="2"/>
      <c r="Z80" s="22">
        <f t="shared" si="17"/>
        <v>0</v>
      </c>
    </row>
    <row r="81" spans="1:26" s="24" customFormat="1" hidden="1" outlineLevel="1" x14ac:dyDescent="0.25">
      <c r="A81" s="51"/>
      <c r="B81" s="11" t="str">
        <f>CONCATENATE("          ", "5002", " - ", "PURCHASES @ COST-USED TEXT")</f>
        <v xml:space="preserve">          5002 - PURCHASES @ COST-USED TEXT</v>
      </c>
      <c r="C81" s="11"/>
      <c r="D81" s="2">
        <v>-208829.28</v>
      </c>
      <c r="E81" s="2"/>
      <c r="F81" s="22">
        <f t="shared" si="10"/>
        <v>-1.8818083661327027</v>
      </c>
      <c r="G81" s="2"/>
      <c r="H81" s="2"/>
      <c r="I81" s="2"/>
      <c r="J81" s="22">
        <f t="shared" si="11"/>
        <v>0</v>
      </c>
      <c r="K81" s="2"/>
      <c r="L81" s="2">
        <f t="shared" si="12"/>
        <v>-208829.28</v>
      </c>
      <c r="M81" s="2"/>
      <c r="N81" s="22">
        <f t="shared" si="13"/>
        <v>0</v>
      </c>
      <c r="O81" s="11"/>
      <c r="P81" s="2">
        <v>94234.05</v>
      </c>
      <c r="Q81" s="2"/>
      <c r="R81" s="22">
        <f t="shared" si="14"/>
        <v>3.8189017249885729E-2</v>
      </c>
      <c r="S81" s="2"/>
      <c r="T81" s="2"/>
      <c r="U81" s="2"/>
      <c r="V81" s="22">
        <f t="shared" si="15"/>
        <v>0</v>
      </c>
      <c r="W81" s="2"/>
      <c r="X81" s="2">
        <f t="shared" si="16"/>
        <v>94234.05</v>
      </c>
      <c r="Y81" s="2"/>
      <c r="Z81" s="22">
        <f t="shared" si="17"/>
        <v>0</v>
      </c>
    </row>
    <row r="82" spans="1:26" s="24" customFormat="1" hidden="1" outlineLevel="1" x14ac:dyDescent="0.25">
      <c r="A82" s="51"/>
      <c r="B82" s="11" t="str">
        <f>CONCATENATE("          ", "5003", " - ", "PURCHASES @ COST-RENTAL TEXT")</f>
        <v xml:space="preserve">          5003 - PURCHASES @ COST-RENTAL TEXT</v>
      </c>
      <c r="C82" s="11"/>
      <c r="D82" s="2">
        <v>517.92999999999995</v>
      </c>
      <c r="E82" s="2"/>
      <c r="F82" s="22">
        <f t="shared" si="10"/>
        <v>4.6671855932803614E-3</v>
      </c>
      <c r="G82" s="2"/>
      <c r="H82" s="2"/>
      <c r="I82" s="2"/>
      <c r="J82" s="22">
        <f t="shared" si="11"/>
        <v>0</v>
      </c>
      <c r="K82" s="2"/>
      <c r="L82" s="2">
        <f t="shared" si="12"/>
        <v>517.92999999999995</v>
      </c>
      <c r="M82" s="2"/>
      <c r="N82" s="22">
        <f t="shared" si="13"/>
        <v>0</v>
      </c>
      <c r="O82" s="11"/>
      <c r="P82" s="2">
        <v>32.520000000000003</v>
      </c>
      <c r="Q82" s="2"/>
      <c r="R82" s="22">
        <f t="shared" si="14"/>
        <v>1.3178960693786204E-5</v>
      </c>
      <c r="S82" s="2"/>
      <c r="T82" s="2"/>
      <c r="U82" s="2"/>
      <c r="V82" s="22">
        <f t="shared" si="15"/>
        <v>0</v>
      </c>
      <c r="W82" s="2"/>
      <c r="X82" s="2">
        <f t="shared" si="16"/>
        <v>32.520000000000003</v>
      </c>
      <c r="Y82" s="2"/>
      <c r="Z82" s="22">
        <f t="shared" si="17"/>
        <v>0</v>
      </c>
    </row>
    <row r="83" spans="1:26" s="24" customFormat="1" hidden="1" outlineLevel="1" x14ac:dyDescent="0.25">
      <c r="A83" s="51"/>
      <c r="B83" s="11" t="str">
        <f>CONCATENATE("          ", "5004", " - ", "PURCHASES @ COST-DIGITAL TEXT")</f>
        <v xml:space="preserve">          5004 - PURCHASES @ COST-DIGITAL TEXT</v>
      </c>
      <c r="C83" s="11"/>
      <c r="D83" s="2">
        <v>1418.58</v>
      </c>
      <c r="E83" s="2"/>
      <c r="F83" s="22">
        <f t="shared" si="10"/>
        <v>1.2783148570107263E-2</v>
      </c>
      <c r="G83" s="2"/>
      <c r="H83" s="2"/>
      <c r="I83" s="2"/>
      <c r="J83" s="22">
        <f t="shared" si="11"/>
        <v>0</v>
      </c>
      <c r="K83" s="2"/>
      <c r="L83" s="2">
        <f t="shared" si="12"/>
        <v>1418.58</v>
      </c>
      <c r="M83" s="2"/>
      <c r="N83" s="22">
        <f t="shared" si="13"/>
        <v>0</v>
      </c>
      <c r="O83" s="11"/>
      <c r="P83" s="2">
        <v>196938.11000000002</v>
      </c>
      <c r="Q83" s="2"/>
      <c r="R83" s="22">
        <f t="shared" si="14"/>
        <v>7.9810566137716601E-2</v>
      </c>
      <c r="S83" s="2"/>
      <c r="T83" s="2"/>
      <c r="U83" s="2"/>
      <c r="V83" s="22">
        <f t="shared" si="15"/>
        <v>0</v>
      </c>
      <c r="W83" s="2"/>
      <c r="X83" s="2">
        <f t="shared" si="16"/>
        <v>196938.11000000002</v>
      </c>
      <c r="Y83" s="2"/>
      <c r="Z83" s="22">
        <f t="shared" si="17"/>
        <v>0</v>
      </c>
    </row>
    <row r="84" spans="1:26" s="24" customFormat="1" hidden="1" outlineLevel="1" x14ac:dyDescent="0.25">
      <c r="A84" s="51"/>
      <c r="B84" s="11" t="str">
        <f>CONCATENATE("          ", "5011", " - ", "PURCHASES @ COST-NO VALUE TEXT")</f>
        <v xml:space="preserve">          5011 - PURCHASES @ COST-NO VALUE TEXT</v>
      </c>
      <c r="C84" s="11"/>
      <c r="D84" s="2"/>
      <c r="E84" s="2"/>
      <c r="F84" s="22">
        <f t="shared" si="10"/>
        <v>0</v>
      </c>
      <c r="G84" s="2"/>
      <c r="H84" s="2"/>
      <c r="I84" s="2"/>
      <c r="J84" s="22">
        <f t="shared" si="11"/>
        <v>0</v>
      </c>
      <c r="K84" s="2"/>
      <c r="L84" s="2">
        <f t="shared" si="12"/>
        <v>0</v>
      </c>
      <c r="M84" s="2"/>
      <c r="N84" s="22">
        <f t="shared" si="13"/>
        <v>0</v>
      </c>
      <c r="O84" s="11"/>
      <c r="P84" s="2">
        <v>67.17</v>
      </c>
      <c r="Q84" s="2"/>
      <c r="R84" s="22">
        <f t="shared" si="14"/>
        <v>2.7221118997589769E-5</v>
      </c>
      <c r="S84" s="2"/>
      <c r="T84" s="2"/>
      <c r="U84" s="2"/>
      <c r="V84" s="22">
        <f t="shared" si="15"/>
        <v>0</v>
      </c>
      <c r="W84" s="2"/>
      <c r="X84" s="2">
        <f t="shared" si="16"/>
        <v>67.17</v>
      </c>
      <c r="Y84" s="2"/>
      <c r="Z84" s="22">
        <f t="shared" si="17"/>
        <v>0</v>
      </c>
    </row>
    <row r="85" spans="1:26" s="24" customFormat="1" hidden="1" outlineLevel="1" x14ac:dyDescent="0.25">
      <c r="A85" s="51"/>
      <c r="B85" s="11" t="str">
        <f>CONCATENATE("          ", "5013", " - ", "PURCHASES @ COST-TRADE BOOKS")</f>
        <v xml:space="preserve">          5013 - PURCHASES @ COST-TRADE BOOKS</v>
      </c>
      <c r="C85" s="11"/>
      <c r="D85" s="2">
        <v>611.1</v>
      </c>
      <c r="E85" s="2"/>
      <c r="F85" s="22">
        <f t="shared" si="10"/>
        <v>5.5067617555531233E-3</v>
      </c>
      <c r="G85" s="2"/>
      <c r="H85" s="2"/>
      <c r="I85" s="2"/>
      <c r="J85" s="22">
        <f t="shared" si="11"/>
        <v>0</v>
      </c>
      <c r="K85" s="2"/>
      <c r="L85" s="2">
        <f t="shared" si="12"/>
        <v>611.1</v>
      </c>
      <c r="M85" s="2"/>
      <c r="N85" s="22">
        <f t="shared" si="13"/>
        <v>0</v>
      </c>
      <c r="O85" s="11"/>
      <c r="P85" s="2">
        <v>2094.7399999999998</v>
      </c>
      <c r="Q85" s="2"/>
      <c r="R85" s="22">
        <f t="shared" si="14"/>
        <v>8.489082448862764E-4</v>
      </c>
      <c r="S85" s="2"/>
      <c r="T85" s="2"/>
      <c r="U85" s="2"/>
      <c r="V85" s="22">
        <f t="shared" si="15"/>
        <v>0</v>
      </c>
      <c r="W85" s="2"/>
      <c r="X85" s="2">
        <f t="shared" si="16"/>
        <v>2094.7399999999998</v>
      </c>
      <c r="Y85" s="2"/>
      <c r="Z85" s="22">
        <f t="shared" si="17"/>
        <v>0</v>
      </c>
    </row>
    <row r="86" spans="1:26" s="24" customFormat="1" hidden="1" outlineLevel="1" x14ac:dyDescent="0.25">
      <c r="A86" s="51"/>
      <c r="B86" s="11" t="str">
        <f>CONCATENATE("          ", "5014", " - ", "PURCHASES @ COST-REMAINDERS")</f>
        <v xml:space="preserve">          5014 - PURCHASES @ COST-REMAINDERS</v>
      </c>
      <c r="C86" s="11"/>
      <c r="D86" s="2"/>
      <c r="E86" s="2"/>
      <c r="F86" s="22">
        <f t="shared" si="10"/>
        <v>0</v>
      </c>
      <c r="G86" s="2"/>
      <c r="H86" s="2"/>
      <c r="I86" s="2"/>
      <c r="J86" s="22">
        <f t="shared" si="11"/>
        <v>0</v>
      </c>
      <c r="K86" s="2"/>
      <c r="L86" s="2">
        <f t="shared" si="12"/>
        <v>0</v>
      </c>
      <c r="M86" s="2"/>
      <c r="N86" s="22">
        <f t="shared" si="13"/>
        <v>0</v>
      </c>
      <c r="O86" s="11"/>
      <c r="P86" s="2">
        <v>90.41</v>
      </c>
      <c r="Q86" s="2"/>
      <c r="R86" s="22">
        <f t="shared" si="14"/>
        <v>3.6639293859938823E-5</v>
      </c>
      <c r="S86" s="2"/>
      <c r="T86" s="2"/>
      <c r="U86" s="2"/>
      <c r="V86" s="22">
        <f t="shared" si="15"/>
        <v>0</v>
      </c>
      <c r="W86" s="2"/>
      <c r="X86" s="2">
        <f t="shared" si="16"/>
        <v>90.41</v>
      </c>
      <c r="Y86" s="2"/>
      <c r="Z86" s="22">
        <f t="shared" si="17"/>
        <v>0</v>
      </c>
    </row>
    <row r="87" spans="1:26" s="24" customFormat="1" hidden="1" outlineLevel="1" x14ac:dyDescent="0.25">
      <c r="A87" s="51"/>
      <c r="B87" s="11" t="str">
        <f>CONCATENATE("          ", "5018", " - ", "PURCHASES @ COST-STUDY GUIDES")</f>
        <v xml:space="preserve">          5018 - PURCHASES @ COST-STUDY GUIDES</v>
      </c>
      <c r="C87" s="11"/>
      <c r="D87" s="2">
        <v>106.34</v>
      </c>
      <c r="E87" s="2"/>
      <c r="F87" s="22">
        <f t="shared" si="10"/>
        <v>9.5825404203161361E-4</v>
      </c>
      <c r="G87" s="2"/>
      <c r="H87" s="2"/>
      <c r="I87" s="2"/>
      <c r="J87" s="22">
        <f t="shared" si="11"/>
        <v>0</v>
      </c>
      <c r="K87" s="2"/>
      <c r="L87" s="2">
        <f t="shared" si="12"/>
        <v>106.34</v>
      </c>
      <c r="M87" s="2"/>
      <c r="N87" s="22">
        <f t="shared" si="13"/>
        <v>0</v>
      </c>
      <c r="O87" s="11"/>
      <c r="P87" s="2">
        <v>106.34</v>
      </c>
      <c r="Q87" s="2"/>
      <c r="R87" s="22">
        <f t="shared" si="14"/>
        <v>4.3095039365843322E-5</v>
      </c>
      <c r="S87" s="2"/>
      <c r="T87" s="2"/>
      <c r="U87" s="2"/>
      <c r="V87" s="22">
        <f t="shared" si="15"/>
        <v>0</v>
      </c>
      <c r="W87" s="2"/>
      <c r="X87" s="2">
        <f t="shared" si="16"/>
        <v>106.34</v>
      </c>
      <c r="Y87" s="2"/>
      <c r="Z87" s="22">
        <f t="shared" si="17"/>
        <v>0</v>
      </c>
    </row>
    <row r="88" spans="1:26" s="24" customFormat="1" hidden="1" outlineLevel="1" x14ac:dyDescent="0.25">
      <c r="A88" s="51"/>
      <c r="B88" s="11" t="str">
        <f>CONCATENATE("          ", "5025", " - ", "PURCHASES @ COST-TEST FORMS")</f>
        <v xml:space="preserve">          5025 - PURCHASES @ COST-TEST FORMS</v>
      </c>
      <c r="C88" s="11"/>
      <c r="D88" s="2"/>
      <c r="E88" s="2"/>
      <c r="F88" s="22">
        <f t="shared" si="10"/>
        <v>0</v>
      </c>
      <c r="G88" s="2"/>
      <c r="H88" s="2"/>
      <c r="I88" s="2"/>
      <c r="J88" s="22">
        <f t="shared" si="11"/>
        <v>0</v>
      </c>
      <c r="K88" s="2"/>
      <c r="L88" s="2">
        <f t="shared" si="12"/>
        <v>0</v>
      </c>
      <c r="M88" s="2"/>
      <c r="N88" s="22">
        <f t="shared" si="13"/>
        <v>0</v>
      </c>
      <c r="O88" s="11"/>
      <c r="P88" s="2">
        <v>599.29</v>
      </c>
      <c r="Q88" s="2"/>
      <c r="R88" s="22">
        <f t="shared" si="14"/>
        <v>2.428665238062464E-4</v>
      </c>
      <c r="S88" s="2"/>
      <c r="T88" s="2"/>
      <c r="U88" s="2"/>
      <c r="V88" s="22">
        <f t="shared" si="15"/>
        <v>0</v>
      </c>
      <c r="W88" s="2"/>
      <c r="X88" s="2">
        <f t="shared" si="16"/>
        <v>599.29</v>
      </c>
      <c r="Y88" s="2"/>
      <c r="Z88" s="22">
        <f t="shared" si="17"/>
        <v>0</v>
      </c>
    </row>
    <row r="89" spans="1:26" s="24" customFormat="1" hidden="1" outlineLevel="1" x14ac:dyDescent="0.25">
      <c r="A89" s="51"/>
      <c r="B89" s="11" t="str">
        <f>CONCATENATE("          ", "5026", " - ", "PURCHASES @ COST-WRITING INSTR")</f>
        <v xml:space="preserve">          5026 - PURCHASES @ COST-WRITING INSTR</v>
      </c>
      <c r="C89" s="11"/>
      <c r="D89" s="2"/>
      <c r="E89" s="2"/>
      <c r="F89" s="22">
        <f t="shared" si="10"/>
        <v>0</v>
      </c>
      <c r="G89" s="2"/>
      <c r="H89" s="2"/>
      <c r="I89" s="2"/>
      <c r="J89" s="22">
        <f t="shared" si="11"/>
        <v>0</v>
      </c>
      <c r="K89" s="2"/>
      <c r="L89" s="2">
        <f t="shared" si="12"/>
        <v>0</v>
      </c>
      <c r="M89" s="2"/>
      <c r="N89" s="22">
        <f t="shared" si="13"/>
        <v>0</v>
      </c>
      <c r="O89" s="11"/>
      <c r="P89" s="2">
        <v>380.02</v>
      </c>
      <c r="Q89" s="2"/>
      <c r="R89" s="22">
        <f t="shared" si="14"/>
        <v>1.5400580082572672E-4</v>
      </c>
      <c r="S89" s="2"/>
      <c r="T89" s="2"/>
      <c r="U89" s="2"/>
      <c r="V89" s="22">
        <f t="shared" si="15"/>
        <v>0</v>
      </c>
      <c r="W89" s="2"/>
      <c r="X89" s="2">
        <f t="shared" si="16"/>
        <v>380.02</v>
      </c>
      <c r="Y89" s="2"/>
      <c r="Z89" s="22">
        <f t="shared" si="17"/>
        <v>0</v>
      </c>
    </row>
    <row r="90" spans="1:26" s="24" customFormat="1" hidden="1" outlineLevel="1" x14ac:dyDescent="0.25">
      <c r="A90" s="51"/>
      <c r="B90" s="11" t="str">
        <f>CONCATENATE("          ", "5027", " - ", "PURCHASES @ COST-SCHOOL SUPPLI")</f>
        <v xml:space="preserve">          5027 - PURCHASES @ COST-SCHOOL SUPPLI</v>
      </c>
      <c r="C90" s="11"/>
      <c r="D90" s="2"/>
      <c r="E90" s="2"/>
      <c r="F90" s="22">
        <f t="shared" si="10"/>
        <v>0</v>
      </c>
      <c r="G90" s="2"/>
      <c r="H90" s="2"/>
      <c r="I90" s="2"/>
      <c r="J90" s="22">
        <f t="shared" si="11"/>
        <v>0</v>
      </c>
      <c r="K90" s="2"/>
      <c r="L90" s="2">
        <f t="shared" si="12"/>
        <v>0</v>
      </c>
      <c r="M90" s="2"/>
      <c r="N90" s="22">
        <f t="shared" si="13"/>
        <v>0</v>
      </c>
      <c r="O90" s="11"/>
      <c r="P90" s="2">
        <v>19071.350000000002</v>
      </c>
      <c r="Q90" s="2"/>
      <c r="R90" s="22">
        <f t="shared" si="14"/>
        <v>7.7287998778425441E-3</v>
      </c>
      <c r="S90" s="2"/>
      <c r="T90" s="2"/>
      <c r="U90" s="2"/>
      <c r="V90" s="22">
        <f t="shared" si="15"/>
        <v>0</v>
      </c>
      <c r="W90" s="2"/>
      <c r="X90" s="2">
        <f t="shared" si="16"/>
        <v>19071.350000000002</v>
      </c>
      <c r="Y90" s="2"/>
      <c r="Z90" s="22">
        <f t="shared" si="17"/>
        <v>0</v>
      </c>
    </row>
    <row r="91" spans="1:26" s="24" customFormat="1" hidden="1" outlineLevel="1" x14ac:dyDescent="0.25">
      <c r="A91" s="51"/>
      <c r="B91" s="11" t="str">
        <f>CONCATENATE("          ", "5028", " - ", "PURCHASES @ COST-ART/TECH")</f>
        <v xml:space="preserve">          5028 - PURCHASES @ COST-ART/TECH</v>
      </c>
      <c r="C91" s="11"/>
      <c r="D91" s="2">
        <v>15.89</v>
      </c>
      <c r="E91" s="2"/>
      <c r="F91" s="22">
        <f t="shared" si="10"/>
        <v>1.431884213643252E-4</v>
      </c>
      <c r="G91" s="2"/>
      <c r="H91" s="2"/>
      <c r="I91" s="2"/>
      <c r="J91" s="22">
        <f t="shared" si="11"/>
        <v>0</v>
      </c>
      <c r="K91" s="2"/>
      <c r="L91" s="2">
        <f t="shared" si="12"/>
        <v>15.89</v>
      </c>
      <c r="M91" s="2"/>
      <c r="N91" s="22">
        <f t="shared" si="13"/>
        <v>0</v>
      </c>
      <c r="O91" s="11"/>
      <c r="P91" s="2">
        <v>41358.449999999997</v>
      </c>
      <c r="Q91" s="2"/>
      <c r="R91" s="22">
        <f t="shared" si="14"/>
        <v>1.6760805255409655E-2</v>
      </c>
      <c r="S91" s="2"/>
      <c r="T91" s="2"/>
      <c r="U91" s="2"/>
      <c r="V91" s="22">
        <f t="shared" si="15"/>
        <v>0</v>
      </c>
      <c r="W91" s="2"/>
      <c r="X91" s="2">
        <f t="shared" si="16"/>
        <v>41358.449999999997</v>
      </c>
      <c r="Y91" s="2"/>
      <c r="Z91" s="22">
        <f t="shared" si="17"/>
        <v>0</v>
      </c>
    </row>
    <row r="92" spans="1:26" s="24" customFormat="1" hidden="1" outlineLevel="1" x14ac:dyDescent="0.25">
      <c r="A92" s="51"/>
      <c r="B92" s="11" t="str">
        <f>CONCATENATE("          ", "5031", " - ", "PURCHASES @ COST-FOOD")</f>
        <v xml:space="preserve">          5031 - PURCHASES @ COST-FOOD</v>
      </c>
      <c r="C92" s="11"/>
      <c r="D92" s="2"/>
      <c r="E92" s="2"/>
      <c r="F92" s="22">
        <f t="shared" si="10"/>
        <v>0</v>
      </c>
      <c r="G92" s="2"/>
      <c r="H92" s="2"/>
      <c r="I92" s="2"/>
      <c r="J92" s="22">
        <f t="shared" si="11"/>
        <v>0</v>
      </c>
      <c r="K92" s="2"/>
      <c r="L92" s="2">
        <f t="shared" si="12"/>
        <v>0</v>
      </c>
      <c r="M92" s="2"/>
      <c r="N92" s="22">
        <f t="shared" si="13"/>
        <v>0</v>
      </c>
      <c r="O92" s="11"/>
      <c r="P92" s="2">
        <v>8535.1</v>
      </c>
      <c r="Q92" s="2"/>
      <c r="R92" s="22">
        <f t="shared" si="14"/>
        <v>3.4589098221874115E-3</v>
      </c>
      <c r="S92" s="2"/>
      <c r="T92" s="2"/>
      <c r="U92" s="2"/>
      <c r="V92" s="22">
        <f t="shared" si="15"/>
        <v>0</v>
      </c>
      <c r="W92" s="2"/>
      <c r="X92" s="2">
        <f t="shared" si="16"/>
        <v>8535.1</v>
      </c>
      <c r="Y92" s="2"/>
      <c r="Z92" s="22">
        <f t="shared" si="17"/>
        <v>0</v>
      </c>
    </row>
    <row r="93" spans="1:26" s="24" customFormat="1" hidden="1" outlineLevel="1" x14ac:dyDescent="0.25">
      <c r="A93" s="51"/>
      <c r="B93" s="11" t="str">
        <f>CONCATENATE("          ", "5040", " - ", "PURCHASES @ COST-LOGO CLOTHING")</f>
        <v xml:space="preserve">          5040 - PURCHASES @ COST-LOGO CLOTHING</v>
      </c>
      <c r="C93" s="11"/>
      <c r="D93" s="2">
        <v>55124.33</v>
      </c>
      <c r="E93" s="2"/>
      <c r="F93" s="22">
        <f t="shared" si="10"/>
        <v>0.49673793527162441</v>
      </c>
      <c r="G93" s="2"/>
      <c r="H93" s="2"/>
      <c r="I93" s="2"/>
      <c r="J93" s="22">
        <f t="shared" si="11"/>
        <v>0</v>
      </c>
      <c r="K93" s="2"/>
      <c r="L93" s="2">
        <f t="shared" si="12"/>
        <v>55124.33</v>
      </c>
      <c r="M93" s="2"/>
      <c r="N93" s="22">
        <f t="shared" si="13"/>
        <v>0</v>
      </c>
      <c r="O93" s="11"/>
      <c r="P93" s="2">
        <v>94295.28</v>
      </c>
      <c r="Q93" s="2"/>
      <c r="R93" s="22">
        <f t="shared" si="14"/>
        <v>3.8213831141745522E-2</v>
      </c>
      <c r="S93" s="2"/>
      <c r="T93" s="2"/>
      <c r="U93" s="2"/>
      <c r="V93" s="22">
        <f t="shared" si="15"/>
        <v>0</v>
      </c>
      <c r="W93" s="2"/>
      <c r="X93" s="2">
        <f t="shared" si="16"/>
        <v>94295.28</v>
      </c>
      <c r="Y93" s="2"/>
      <c r="Z93" s="22">
        <f t="shared" si="17"/>
        <v>0</v>
      </c>
    </row>
    <row r="94" spans="1:26" s="24" customFormat="1" hidden="1" outlineLevel="1" x14ac:dyDescent="0.25">
      <c r="A94" s="51"/>
      <c r="B94" s="11" t="str">
        <f>CONCATENATE("          ", "5041", " - ", "PURCHASES @ COST-LOGO GIFTS")</f>
        <v xml:space="preserve">          5041 - PURCHASES @ COST-LOGO GIFTS</v>
      </c>
      <c r="C94" s="11"/>
      <c r="D94" s="2">
        <v>9354.43</v>
      </c>
      <c r="E94" s="2"/>
      <c r="F94" s="22">
        <f t="shared" si="10"/>
        <v>8.4294906511207329E-2</v>
      </c>
      <c r="G94" s="2"/>
      <c r="H94" s="2"/>
      <c r="I94" s="2"/>
      <c r="J94" s="22">
        <f t="shared" si="11"/>
        <v>0</v>
      </c>
      <c r="K94" s="2"/>
      <c r="L94" s="2">
        <f t="shared" si="12"/>
        <v>9354.43</v>
      </c>
      <c r="M94" s="2"/>
      <c r="N94" s="22">
        <f t="shared" si="13"/>
        <v>0</v>
      </c>
      <c r="O94" s="11"/>
      <c r="P94" s="2">
        <v>26641.769999999997</v>
      </c>
      <c r="Q94" s="2"/>
      <c r="R94" s="22">
        <f t="shared" si="14"/>
        <v>1.0796766286681808E-2</v>
      </c>
      <c r="S94" s="2"/>
      <c r="T94" s="2"/>
      <c r="U94" s="2"/>
      <c r="V94" s="22">
        <f t="shared" si="15"/>
        <v>0</v>
      </c>
      <c r="W94" s="2"/>
      <c r="X94" s="2">
        <f t="shared" si="16"/>
        <v>26641.769999999997</v>
      </c>
      <c r="Y94" s="2"/>
      <c r="Z94" s="22">
        <f t="shared" si="17"/>
        <v>0</v>
      </c>
    </row>
    <row r="95" spans="1:26" s="24" customFormat="1" hidden="1" outlineLevel="1" x14ac:dyDescent="0.25">
      <c r="A95" s="51"/>
      <c r="B95" s="11" t="str">
        <f>CONCATENATE("          ", "5042", " - ", "PURCHASES @ COST-EVERYDAY GIFT")</f>
        <v xml:space="preserve">          5042 - PURCHASES @ COST-EVERYDAY GIFT</v>
      </c>
      <c r="C95" s="11"/>
      <c r="D95" s="2"/>
      <c r="E95" s="2"/>
      <c r="F95" s="22">
        <f t="shared" si="10"/>
        <v>0</v>
      </c>
      <c r="G95" s="2"/>
      <c r="H95" s="2"/>
      <c r="I95" s="2"/>
      <c r="J95" s="22">
        <f t="shared" si="11"/>
        <v>0</v>
      </c>
      <c r="K95" s="2"/>
      <c r="L95" s="2">
        <f t="shared" si="12"/>
        <v>0</v>
      </c>
      <c r="M95" s="2"/>
      <c r="N95" s="22">
        <f t="shared" si="13"/>
        <v>0</v>
      </c>
      <c r="O95" s="11"/>
      <c r="P95" s="2">
        <v>10912.68</v>
      </c>
      <c r="Q95" s="2"/>
      <c r="R95" s="22">
        <f t="shared" si="14"/>
        <v>4.4224409835137398E-3</v>
      </c>
      <c r="S95" s="2"/>
      <c r="T95" s="2"/>
      <c r="U95" s="2"/>
      <c r="V95" s="22">
        <f t="shared" si="15"/>
        <v>0</v>
      </c>
      <c r="W95" s="2"/>
      <c r="X95" s="2">
        <f t="shared" si="16"/>
        <v>10912.68</v>
      </c>
      <c r="Y95" s="2"/>
      <c r="Z95" s="22">
        <f t="shared" si="17"/>
        <v>0</v>
      </c>
    </row>
    <row r="96" spans="1:26" s="24" customFormat="1" hidden="1" outlineLevel="1" x14ac:dyDescent="0.25">
      <c r="A96" s="51"/>
      <c r="B96" s="11" t="str">
        <f>CONCATENATE("          ", "5043", " - ", "PURCHASES @ COST-CARDS")</f>
        <v xml:space="preserve">          5043 - PURCHASES @ COST-CARDS</v>
      </c>
      <c r="C96" s="11"/>
      <c r="D96" s="2">
        <v>38530.230000000003</v>
      </c>
      <c r="E96" s="2"/>
      <c r="F96" s="22">
        <f t="shared" si="10"/>
        <v>0.34720470789832369</v>
      </c>
      <c r="G96" s="2"/>
      <c r="H96" s="2"/>
      <c r="I96" s="2"/>
      <c r="J96" s="22">
        <f t="shared" si="11"/>
        <v>0</v>
      </c>
      <c r="K96" s="2"/>
      <c r="L96" s="2">
        <f t="shared" si="12"/>
        <v>38530.230000000003</v>
      </c>
      <c r="M96" s="2"/>
      <c r="N96" s="22">
        <f t="shared" si="13"/>
        <v>0</v>
      </c>
      <c r="O96" s="11"/>
      <c r="P96" s="2">
        <v>44173.23</v>
      </c>
      <c r="Q96" s="2"/>
      <c r="R96" s="22">
        <f t="shared" si="14"/>
        <v>1.7901514818191192E-2</v>
      </c>
      <c r="S96" s="2"/>
      <c r="T96" s="2"/>
      <c r="U96" s="2"/>
      <c r="V96" s="22">
        <f t="shared" si="15"/>
        <v>0</v>
      </c>
      <c r="W96" s="2"/>
      <c r="X96" s="2">
        <f t="shared" si="16"/>
        <v>44173.23</v>
      </c>
      <c r="Y96" s="2"/>
      <c r="Z96" s="22">
        <f t="shared" si="17"/>
        <v>0</v>
      </c>
    </row>
    <row r="97" spans="1:26" s="24" customFormat="1" hidden="1" outlineLevel="1" x14ac:dyDescent="0.25">
      <c r="A97" s="51"/>
      <c r="B97" s="11" t="str">
        <f>CONCATENATE("          ", "5044", " - ", "PURCHASES @ COST-ACCESSORIES")</f>
        <v xml:space="preserve">          5044 - PURCHASES @ COST-ACCESSORIES</v>
      </c>
      <c r="C97" s="11"/>
      <c r="D97" s="2">
        <v>282.33</v>
      </c>
      <c r="E97" s="2"/>
      <c r="F97" s="22">
        <f t="shared" si="10"/>
        <v>2.5441401512768993E-3</v>
      </c>
      <c r="G97" s="2"/>
      <c r="H97" s="2"/>
      <c r="I97" s="2"/>
      <c r="J97" s="22">
        <f t="shared" si="11"/>
        <v>0</v>
      </c>
      <c r="K97" s="2"/>
      <c r="L97" s="2">
        <f t="shared" si="12"/>
        <v>282.33</v>
      </c>
      <c r="M97" s="2"/>
      <c r="N97" s="22">
        <f t="shared" si="13"/>
        <v>0</v>
      </c>
      <c r="O97" s="11"/>
      <c r="P97" s="2">
        <v>282.33</v>
      </c>
      <c r="Q97" s="2"/>
      <c r="R97" s="22">
        <f t="shared" si="14"/>
        <v>1.1441623532216048E-4</v>
      </c>
      <c r="S97" s="2"/>
      <c r="T97" s="2"/>
      <c r="U97" s="2"/>
      <c r="V97" s="22">
        <f t="shared" si="15"/>
        <v>0</v>
      </c>
      <c r="W97" s="2"/>
      <c r="X97" s="2">
        <f t="shared" si="16"/>
        <v>282.33</v>
      </c>
      <c r="Y97" s="2"/>
      <c r="Z97" s="22">
        <f t="shared" si="17"/>
        <v>0</v>
      </c>
    </row>
    <row r="98" spans="1:26" s="24" customFormat="1" hidden="1" outlineLevel="1" x14ac:dyDescent="0.25">
      <c r="A98" s="51"/>
      <c r="B98" s="11" t="str">
        <f>CONCATENATE("          ", "5045", " - ", "PURCHASES @ COST-SPECIAL ORDER")</f>
        <v xml:space="preserve">          5045 - PURCHASES @ COST-SPECIAL ORDER</v>
      </c>
      <c r="C98" s="11"/>
      <c r="D98" s="2">
        <v>5678</v>
      </c>
      <c r="E98" s="2"/>
      <c r="F98" s="22">
        <f t="shared" si="10"/>
        <v>5.1165755601424695E-2</v>
      </c>
      <c r="G98" s="2"/>
      <c r="H98" s="2"/>
      <c r="I98" s="2"/>
      <c r="J98" s="22">
        <f t="shared" si="11"/>
        <v>0</v>
      </c>
      <c r="K98" s="2"/>
      <c r="L98" s="2">
        <f t="shared" si="12"/>
        <v>5678</v>
      </c>
      <c r="M98" s="2"/>
      <c r="N98" s="22">
        <f t="shared" si="13"/>
        <v>0</v>
      </c>
      <c r="O98" s="11"/>
      <c r="P98" s="2">
        <v>76932.51999999999</v>
      </c>
      <c r="Q98" s="2"/>
      <c r="R98" s="22">
        <f t="shared" si="14"/>
        <v>3.1177449481977884E-2</v>
      </c>
      <c r="S98" s="2"/>
      <c r="T98" s="2"/>
      <c r="U98" s="2"/>
      <c r="V98" s="22">
        <f t="shared" si="15"/>
        <v>0</v>
      </c>
      <c r="W98" s="2"/>
      <c r="X98" s="2">
        <f t="shared" si="16"/>
        <v>76932.51999999999</v>
      </c>
      <c r="Y98" s="2"/>
      <c r="Z98" s="22">
        <f t="shared" si="17"/>
        <v>0</v>
      </c>
    </row>
    <row r="99" spans="1:26" s="24" customFormat="1" hidden="1" outlineLevel="1" x14ac:dyDescent="0.25">
      <c r="A99" s="51"/>
      <c r="B99" s="11" t="str">
        <f>CONCATENATE("          ", "5053", " - ", "PURCHASES @ COST-FOOD")</f>
        <v xml:space="preserve">          5053 - PURCHASES @ COST-FOOD</v>
      </c>
      <c r="C99" s="11"/>
      <c r="D99" s="2"/>
      <c r="E99" s="2"/>
      <c r="F99" s="22">
        <f t="shared" si="10"/>
        <v>0</v>
      </c>
      <c r="G99" s="2"/>
      <c r="H99" s="2"/>
      <c r="I99" s="2"/>
      <c r="J99" s="22">
        <f t="shared" si="11"/>
        <v>0</v>
      </c>
      <c r="K99" s="2"/>
      <c r="L99" s="2">
        <f t="shared" si="12"/>
        <v>0</v>
      </c>
      <c r="M99" s="2"/>
      <c r="N99" s="22">
        <f t="shared" si="13"/>
        <v>0</v>
      </c>
      <c r="O99" s="11"/>
      <c r="P99" s="2">
        <v>-2855.57</v>
      </c>
      <c r="Q99" s="2"/>
      <c r="R99" s="22">
        <f t="shared" si="14"/>
        <v>-1.1572399996419148E-3</v>
      </c>
      <c r="S99" s="2"/>
      <c r="T99" s="2"/>
      <c r="U99" s="2"/>
      <c r="V99" s="22">
        <f t="shared" si="15"/>
        <v>0</v>
      </c>
      <c r="W99" s="2"/>
      <c r="X99" s="2">
        <f t="shared" si="16"/>
        <v>-2855.57</v>
      </c>
      <c r="Y99" s="2"/>
      <c r="Z99" s="22">
        <f t="shared" si="17"/>
        <v>0</v>
      </c>
    </row>
    <row r="100" spans="1:26" s="24" customFormat="1" hidden="1" outlineLevel="1" x14ac:dyDescent="0.25">
      <c r="A100" s="51"/>
      <c r="B100" s="11" t="str">
        <f>CONCATENATE("          ", "5059", " - ", "PURCHASES @ COST-FOOD")</f>
        <v xml:space="preserve">          5059 - PURCHASES @ COST-FOOD</v>
      </c>
      <c r="C100" s="11"/>
      <c r="D100" s="2"/>
      <c r="E100" s="2"/>
      <c r="F100" s="22">
        <f t="shared" si="10"/>
        <v>0</v>
      </c>
      <c r="G100" s="2"/>
      <c r="H100" s="2"/>
      <c r="I100" s="2"/>
      <c r="J100" s="22">
        <f t="shared" si="11"/>
        <v>0</v>
      </c>
      <c r="K100" s="2"/>
      <c r="L100" s="2">
        <f t="shared" si="12"/>
        <v>0</v>
      </c>
      <c r="M100" s="2"/>
      <c r="N100" s="22">
        <f t="shared" si="13"/>
        <v>0</v>
      </c>
      <c r="O100" s="11"/>
      <c r="P100" s="2">
        <v>11697.91</v>
      </c>
      <c r="Q100" s="2"/>
      <c r="R100" s="22">
        <f t="shared" si="14"/>
        <v>4.7406610113606565E-3</v>
      </c>
      <c r="S100" s="2"/>
      <c r="T100" s="2"/>
      <c r="U100" s="2"/>
      <c r="V100" s="22">
        <f t="shared" si="15"/>
        <v>0</v>
      </c>
      <c r="W100" s="2"/>
      <c r="X100" s="2">
        <f t="shared" si="16"/>
        <v>11697.91</v>
      </c>
      <c r="Y100" s="2"/>
      <c r="Z100" s="22">
        <f t="shared" si="17"/>
        <v>0</v>
      </c>
    </row>
    <row r="101" spans="1:26" s="24" customFormat="1" hidden="1" outlineLevel="1" x14ac:dyDescent="0.25">
      <c r="A101" s="51"/>
      <c r="B101" s="11" t="str">
        <f>CONCATENATE("          ", "5200", " - ", "PURCHASES OFFSET")</f>
        <v xml:space="preserve">          5200 - PURCHASES OFFSET</v>
      </c>
      <c r="C101" s="11"/>
      <c r="D101" s="2">
        <v>196761.90999999997</v>
      </c>
      <c r="E101" s="2"/>
      <c r="F101" s="22">
        <f t="shared" si="10"/>
        <v>1.7730665372894541</v>
      </c>
      <c r="G101" s="2"/>
      <c r="H101" s="2"/>
      <c r="I101" s="2"/>
      <c r="J101" s="22">
        <f t="shared" si="11"/>
        <v>0</v>
      </c>
      <c r="K101" s="2"/>
      <c r="L101" s="2">
        <f t="shared" si="12"/>
        <v>196761.90999999997</v>
      </c>
      <c r="M101" s="2"/>
      <c r="N101" s="22">
        <f t="shared" si="13"/>
        <v>0</v>
      </c>
      <c r="O101" s="11"/>
      <c r="P101" s="2">
        <v>-1572395.28</v>
      </c>
      <c r="Q101" s="2"/>
      <c r="R101" s="22">
        <f t="shared" si="14"/>
        <v>-0.63722434164252617</v>
      </c>
      <c r="S101" s="2"/>
      <c r="T101" s="2"/>
      <c r="U101" s="2"/>
      <c r="V101" s="22">
        <f t="shared" si="15"/>
        <v>0</v>
      </c>
      <c r="W101" s="2"/>
      <c r="X101" s="2">
        <f t="shared" si="16"/>
        <v>-1572395.28</v>
      </c>
      <c r="Y101" s="2"/>
      <c r="Z101" s="22">
        <f t="shared" si="17"/>
        <v>0</v>
      </c>
    </row>
    <row r="102" spans="1:26" s="24" customFormat="1" hidden="1" outlineLevel="1" x14ac:dyDescent="0.25">
      <c r="A102" s="51"/>
      <c r="B102" s="11" t="str">
        <f>CONCATENATE("          ", "5300", " - ", "COG$ OFFSET")</f>
        <v xml:space="preserve">          5300 - COG$ OFFSET</v>
      </c>
      <c r="C102" s="11"/>
      <c r="D102" s="2">
        <v>60951.000000000007</v>
      </c>
      <c r="E102" s="2"/>
      <c r="F102" s="22">
        <f t="shared" si="10"/>
        <v>0.54924339021881596</v>
      </c>
      <c r="G102" s="2"/>
      <c r="H102" s="2"/>
      <c r="I102" s="2"/>
      <c r="J102" s="22">
        <f t="shared" si="11"/>
        <v>0</v>
      </c>
      <c r="K102" s="2"/>
      <c r="L102" s="2">
        <f t="shared" si="12"/>
        <v>60951.000000000007</v>
      </c>
      <c r="M102" s="2"/>
      <c r="N102" s="22">
        <f t="shared" si="13"/>
        <v>0</v>
      </c>
      <c r="O102" s="11"/>
      <c r="P102" s="2">
        <v>1256640</v>
      </c>
      <c r="Q102" s="2"/>
      <c r="R102" s="22">
        <f t="shared" si="14"/>
        <v>0.50926227448460926</v>
      </c>
      <c r="S102" s="2"/>
      <c r="T102" s="2"/>
      <c r="U102" s="2"/>
      <c r="V102" s="22">
        <f t="shared" si="15"/>
        <v>0</v>
      </c>
      <c r="W102" s="2"/>
      <c r="X102" s="2">
        <f t="shared" si="16"/>
        <v>1256640</v>
      </c>
      <c r="Y102" s="2"/>
      <c r="Z102" s="22">
        <f t="shared" si="17"/>
        <v>0</v>
      </c>
    </row>
    <row r="103" spans="1:26" s="24" customFormat="1" hidden="1" outlineLevel="1" x14ac:dyDescent="0.25">
      <c r="A103" s="51"/>
      <c r="B103" s="11" t="str">
        <f>CONCATENATE("          ", "5501", " - ", "FREIGHT-IN-NEW TEXT")</f>
        <v xml:space="preserve">          5501 - FREIGHT-IN-NEW TEXT</v>
      </c>
      <c r="C103" s="11"/>
      <c r="D103" s="2">
        <v>990.19</v>
      </c>
      <c r="E103" s="2"/>
      <c r="F103" s="22">
        <f t="shared" si="10"/>
        <v>8.9228283795305952E-3</v>
      </c>
      <c r="G103" s="2"/>
      <c r="H103" s="2"/>
      <c r="I103" s="2"/>
      <c r="J103" s="22">
        <f t="shared" si="11"/>
        <v>0</v>
      </c>
      <c r="K103" s="2"/>
      <c r="L103" s="2">
        <f t="shared" si="12"/>
        <v>990.19</v>
      </c>
      <c r="M103" s="2"/>
      <c r="N103" s="22">
        <f t="shared" si="13"/>
        <v>0</v>
      </c>
      <c r="O103" s="11"/>
      <c r="P103" s="2">
        <v>35048.81</v>
      </c>
      <c r="Q103" s="2"/>
      <c r="R103" s="22">
        <f t="shared" si="14"/>
        <v>1.4203778885423764E-2</v>
      </c>
      <c r="S103" s="2"/>
      <c r="T103" s="2"/>
      <c r="U103" s="2"/>
      <c r="V103" s="22">
        <f t="shared" si="15"/>
        <v>0</v>
      </c>
      <c r="W103" s="2"/>
      <c r="X103" s="2">
        <f t="shared" si="16"/>
        <v>35048.81</v>
      </c>
      <c r="Y103" s="2"/>
      <c r="Z103" s="22">
        <f t="shared" si="17"/>
        <v>0</v>
      </c>
    </row>
    <row r="104" spans="1:26" s="24" customFormat="1" hidden="1" outlineLevel="1" x14ac:dyDescent="0.25">
      <c r="A104" s="51"/>
      <c r="B104" s="11" t="str">
        <f>CONCATENATE("          ", "5502", " - ", "FREIGHT-IN-USED TEXT")</f>
        <v xml:space="preserve">          5502 - FREIGHT-IN-USED TEXT</v>
      </c>
      <c r="C104" s="11"/>
      <c r="D104" s="2">
        <v>388.37</v>
      </c>
      <c r="E104" s="2"/>
      <c r="F104" s="22">
        <f t="shared" si="10"/>
        <v>3.499690824749086E-3</v>
      </c>
      <c r="G104" s="2"/>
      <c r="H104" s="2"/>
      <c r="I104" s="2"/>
      <c r="J104" s="22">
        <f t="shared" si="11"/>
        <v>0</v>
      </c>
      <c r="K104" s="2"/>
      <c r="L104" s="2">
        <f t="shared" si="12"/>
        <v>388.37</v>
      </c>
      <c r="M104" s="2"/>
      <c r="N104" s="22">
        <f t="shared" si="13"/>
        <v>0</v>
      </c>
      <c r="O104" s="11"/>
      <c r="P104" s="2">
        <v>11133.09</v>
      </c>
      <c r="Q104" s="2"/>
      <c r="R104" s="22">
        <f t="shared" si="14"/>
        <v>4.5117636995813115E-3</v>
      </c>
      <c r="S104" s="2"/>
      <c r="T104" s="2"/>
      <c r="U104" s="2"/>
      <c r="V104" s="22">
        <f t="shared" si="15"/>
        <v>0</v>
      </c>
      <c r="W104" s="2"/>
      <c r="X104" s="2">
        <f t="shared" si="16"/>
        <v>11133.09</v>
      </c>
      <c r="Y104" s="2"/>
      <c r="Z104" s="22">
        <f t="shared" si="17"/>
        <v>0</v>
      </c>
    </row>
    <row r="105" spans="1:26" s="24" customFormat="1" hidden="1" outlineLevel="1" x14ac:dyDescent="0.25">
      <c r="A105" s="51"/>
      <c r="B105" s="11" t="str">
        <f>CONCATENATE("          ", "5504", " - ", "FREIGHT-IN-DIGITAL TEXT")</f>
        <v xml:space="preserve">          5504 - FREIGHT-IN-DIGITAL TEXT</v>
      </c>
      <c r="C105" s="11"/>
      <c r="D105" s="2"/>
      <c r="E105" s="2"/>
      <c r="F105" s="22">
        <f t="shared" si="10"/>
        <v>0</v>
      </c>
      <c r="G105" s="2"/>
      <c r="H105" s="2"/>
      <c r="I105" s="2"/>
      <c r="J105" s="22">
        <f t="shared" si="11"/>
        <v>0</v>
      </c>
      <c r="K105" s="2"/>
      <c r="L105" s="2">
        <f t="shared" si="12"/>
        <v>0</v>
      </c>
      <c r="M105" s="2"/>
      <c r="N105" s="22">
        <f t="shared" si="13"/>
        <v>0</v>
      </c>
      <c r="O105" s="11"/>
      <c r="P105" s="2">
        <v>21.98</v>
      </c>
      <c r="Q105" s="2"/>
      <c r="R105" s="22">
        <f t="shared" si="14"/>
        <v>8.9075509240289291E-6</v>
      </c>
      <c r="S105" s="2"/>
      <c r="T105" s="2"/>
      <c r="U105" s="2"/>
      <c r="V105" s="22">
        <f t="shared" si="15"/>
        <v>0</v>
      </c>
      <c r="W105" s="2"/>
      <c r="X105" s="2">
        <f t="shared" si="16"/>
        <v>21.98</v>
      </c>
      <c r="Y105" s="2"/>
      <c r="Z105" s="22">
        <f t="shared" si="17"/>
        <v>0</v>
      </c>
    </row>
    <row r="106" spans="1:26" s="24" customFormat="1" hidden="1" outlineLevel="1" x14ac:dyDescent="0.25">
      <c r="A106" s="51"/>
      <c r="B106" s="11" t="str">
        <f>CONCATENATE("          ", "5513", " - ", "FREIGHT-IN-TRADE BOOKS")</f>
        <v xml:space="preserve">          5513 - FREIGHT-IN-TRADE BOOKS</v>
      </c>
      <c r="C106" s="11"/>
      <c r="D106" s="2">
        <v>26.46</v>
      </c>
      <c r="E106" s="2"/>
      <c r="F106" s="22">
        <f t="shared" si="10"/>
        <v>2.3843710694147543E-4</v>
      </c>
      <c r="G106" s="2"/>
      <c r="H106" s="2"/>
      <c r="I106" s="2"/>
      <c r="J106" s="22">
        <f t="shared" si="11"/>
        <v>0</v>
      </c>
      <c r="K106" s="2"/>
      <c r="L106" s="2">
        <f t="shared" si="12"/>
        <v>26.46</v>
      </c>
      <c r="M106" s="2"/>
      <c r="N106" s="22">
        <f t="shared" si="13"/>
        <v>0</v>
      </c>
      <c r="O106" s="11"/>
      <c r="P106" s="2">
        <v>26.46</v>
      </c>
      <c r="Q106" s="2"/>
      <c r="R106" s="22">
        <f t="shared" si="14"/>
        <v>1.0723102704722723E-5</v>
      </c>
      <c r="S106" s="2"/>
      <c r="T106" s="2"/>
      <c r="U106" s="2"/>
      <c r="V106" s="22">
        <f t="shared" si="15"/>
        <v>0</v>
      </c>
      <c r="W106" s="2"/>
      <c r="X106" s="2">
        <f t="shared" si="16"/>
        <v>26.46</v>
      </c>
      <c r="Y106" s="2"/>
      <c r="Z106" s="22">
        <f t="shared" si="17"/>
        <v>0</v>
      </c>
    </row>
    <row r="107" spans="1:26" s="24" customFormat="1" hidden="1" outlineLevel="1" x14ac:dyDescent="0.25">
      <c r="A107" s="51"/>
      <c r="B107" s="11" t="str">
        <f>CONCATENATE("          ", "5525", " - ", "FREIGHT-IN-TEST FORMS")</f>
        <v xml:space="preserve">          5525 - FREIGHT-IN-TEST FORMS</v>
      </c>
      <c r="C107" s="11"/>
      <c r="D107" s="2"/>
      <c r="E107" s="2"/>
      <c r="F107" s="22">
        <f t="shared" si="10"/>
        <v>0</v>
      </c>
      <c r="G107" s="2"/>
      <c r="H107" s="2"/>
      <c r="I107" s="2"/>
      <c r="J107" s="22">
        <f t="shared" si="11"/>
        <v>0</v>
      </c>
      <c r="K107" s="2"/>
      <c r="L107" s="2">
        <f t="shared" si="12"/>
        <v>0</v>
      </c>
      <c r="M107" s="2"/>
      <c r="N107" s="22">
        <f t="shared" si="13"/>
        <v>0</v>
      </c>
      <c r="O107" s="11"/>
      <c r="P107" s="2">
        <v>48.14</v>
      </c>
      <c r="Q107" s="2"/>
      <c r="R107" s="22">
        <f t="shared" si="14"/>
        <v>1.9509076500580192E-5</v>
      </c>
      <c r="S107" s="2"/>
      <c r="T107" s="2"/>
      <c r="U107" s="2"/>
      <c r="V107" s="22">
        <f t="shared" si="15"/>
        <v>0</v>
      </c>
      <c r="W107" s="2"/>
      <c r="X107" s="2">
        <f t="shared" si="16"/>
        <v>48.14</v>
      </c>
      <c r="Y107" s="2"/>
      <c r="Z107" s="22">
        <f t="shared" si="17"/>
        <v>0</v>
      </c>
    </row>
    <row r="108" spans="1:26" s="24" customFormat="1" hidden="1" outlineLevel="1" x14ac:dyDescent="0.25">
      <c r="A108" s="51"/>
      <c r="B108" s="11" t="str">
        <f>CONCATENATE("          ", "5527", " - ", "FREIGHT-IN-SCHOOL SUPPLIES")</f>
        <v xml:space="preserve">          5527 - FREIGHT-IN-SCHOOL SUPPLIES</v>
      </c>
      <c r="C108" s="11"/>
      <c r="D108" s="2"/>
      <c r="E108" s="2"/>
      <c r="F108" s="22">
        <f t="shared" si="10"/>
        <v>0</v>
      </c>
      <c r="G108" s="2"/>
      <c r="H108" s="2"/>
      <c r="I108" s="2"/>
      <c r="J108" s="22">
        <f t="shared" si="11"/>
        <v>0</v>
      </c>
      <c r="K108" s="2"/>
      <c r="L108" s="2">
        <f t="shared" si="12"/>
        <v>0</v>
      </c>
      <c r="M108" s="2"/>
      <c r="N108" s="22">
        <f t="shared" si="13"/>
        <v>0</v>
      </c>
      <c r="O108" s="11"/>
      <c r="P108" s="2">
        <v>56</v>
      </c>
      <c r="Q108" s="2"/>
      <c r="R108" s="22">
        <f t="shared" si="14"/>
        <v>2.269439725867243E-5</v>
      </c>
      <c r="S108" s="2"/>
      <c r="T108" s="2"/>
      <c r="U108" s="2"/>
      <c r="V108" s="22">
        <f t="shared" si="15"/>
        <v>0</v>
      </c>
      <c r="W108" s="2"/>
      <c r="X108" s="2">
        <f t="shared" si="16"/>
        <v>56</v>
      </c>
      <c r="Y108" s="2"/>
      <c r="Z108" s="22">
        <f t="shared" si="17"/>
        <v>0</v>
      </c>
    </row>
    <row r="109" spans="1:26" s="24" customFormat="1" hidden="1" outlineLevel="1" x14ac:dyDescent="0.25">
      <c r="A109" s="51"/>
      <c r="B109" s="11" t="str">
        <f>CONCATENATE("          ", "5528", " - ", "FREIGHT-IN-ART/TECH")</f>
        <v xml:space="preserve">          5528 - FREIGHT-IN-ART/TECH</v>
      </c>
      <c r="C109" s="11"/>
      <c r="D109" s="2">
        <v>1.72</v>
      </c>
      <c r="E109" s="2"/>
      <c r="F109" s="22">
        <f t="shared" si="10"/>
        <v>1.5499313074049045E-5</v>
      </c>
      <c r="G109" s="2"/>
      <c r="H109" s="2"/>
      <c r="I109" s="2"/>
      <c r="J109" s="22">
        <f t="shared" si="11"/>
        <v>0</v>
      </c>
      <c r="K109" s="2"/>
      <c r="L109" s="2">
        <f t="shared" si="12"/>
        <v>1.72</v>
      </c>
      <c r="M109" s="2"/>
      <c r="N109" s="22">
        <f t="shared" si="13"/>
        <v>0</v>
      </c>
      <c r="O109" s="11"/>
      <c r="P109" s="2">
        <v>285.92</v>
      </c>
      <c r="Q109" s="2"/>
      <c r="R109" s="22">
        <f t="shared" si="14"/>
        <v>1.1587110828927895E-4</v>
      </c>
      <c r="S109" s="2"/>
      <c r="T109" s="2"/>
      <c r="U109" s="2"/>
      <c r="V109" s="22">
        <f t="shared" si="15"/>
        <v>0</v>
      </c>
      <c r="W109" s="2"/>
      <c r="X109" s="2">
        <f t="shared" si="16"/>
        <v>285.92</v>
      </c>
      <c r="Y109" s="2"/>
      <c r="Z109" s="22">
        <f t="shared" si="17"/>
        <v>0</v>
      </c>
    </row>
    <row r="110" spans="1:26" s="24" customFormat="1" hidden="1" outlineLevel="1" x14ac:dyDescent="0.25">
      <c r="A110" s="51"/>
      <c r="B110" s="11" t="str">
        <f>CONCATENATE("          ", "5540", " - ", "FREIGHT-IN-LOGO CLOTHING")</f>
        <v xml:space="preserve">          5540 - FREIGHT-IN-LOGO CLOTHING</v>
      </c>
      <c r="C110" s="11"/>
      <c r="D110" s="2">
        <v>1333.15</v>
      </c>
      <c r="E110" s="2"/>
      <c r="F110" s="22">
        <f t="shared" si="10"/>
        <v>1.2013319316667725E-2</v>
      </c>
      <c r="G110" s="2"/>
      <c r="H110" s="2"/>
      <c r="I110" s="2"/>
      <c r="J110" s="22">
        <f t="shared" si="11"/>
        <v>0</v>
      </c>
      <c r="K110" s="2"/>
      <c r="L110" s="2">
        <f t="shared" si="12"/>
        <v>1333.15</v>
      </c>
      <c r="M110" s="2"/>
      <c r="N110" s="22">
        <f t="shared" si="13"/>
        <v>0</v>
      </c>
      <c r="O110" s="11"/>
      <c r="P110" s="2">
        <v>4535.4799999999996</v>
      </c>
      <c r="Q110" s="2"/>
      <c r="R110" s="22">
        <f t="shared" si="14"/>
        <v>1.8380354442636361E-3</v>
      </c>
      <c r="S110" s="2"/>
      <c r="T110" s="2"/>
      <c r="U110" s="2"/>
      <c r="V110" s="22">
        <f t="shared" si="15"/>
        <v>0</v>
      </c>
      <c r="W110" s="2"/>
      <c r="X110" s="2">
        <f t="shared" si="16"/>
        <v>4535.4799999999996</v>
      </c>
      <c r="Y110" s="2"/>
      <c r="Z110" s="22">
        <f t="shared" si="17"/>
        <v>0</v>
      </c>
    </row>
    <row r="111" spans="1:26" s="24" customFormat="1" hidden="1" outlineLevel="1" x14ac:dyDescent="0.25">
      <c r="A111" s="51"/>
      <c r="B111" s="11" t="str">
        <f>CONCATENATE("          ", "5541", " - ", "FREIGHT-IN-LOGO GIFTS")</f>
        <v xml:space="preserve">          5541 - FREIGHT-IN-LOGO GIFTS</v>
      </c>
      <c r="C111" s="11"/>
      <c r="D111" s="2">
        <v>301.06</v>
      </c>
      <c r="E111" s="2"/>
      <c r="F111" s="22">
        <f t="shared" si="10"/>
        <v>2.7129204616704685E-3</v>
      </c>
      <c r="G111" s="2"/>
      <c r="H111" s="2"/>
      <c r="I111" s="2"/>
      <c r="J111" s="22">
        <f t="shared" si="11"/>
        <v>0</v>
      </c>
      <c r="K111" s="2"/>
      <c r="L111" s="2">
        <f t="shared" si="12"/>
        <v>301.06</v>
      </c>
      <c r="M111" s="2"/>
      <c r="N111" s="22">
        <f t="shared" si="13"/>
        <v>0</v>
      </c>
      <c r="O111" s="11"/>
      <c r="P111" s="2">
        <v>1435.87</v>
      </c>
      <c r="Q111" s="2"/>
      <c r="R111" s="22">
        <f t="shared" si="14"/>
        <v>5.8189650342517821E-4</v>
      </c>
      <c r="S111" s="2"/>
      <c r="T111" s="2"/>
      <c r="U111" s="2"/>
      <c r="V111" s="22">
        <f t="shared" si="15"/>
        <v>0</v>
      </c>
      <c r="W111" s="2"/>
      <c r="X111" s="2">
        <f t="shared" si="16"/>
        <v>1435.87</v>
      </c>
      <c r="Y111" s="2"/>
      <c r="Z111" s="22">
        <f t="shared" si="17"/>
        <v>0</v>
      </c>
    </row>
    <row r="112" spans="1:26" s="24" customFormat="1" hidden="1" outlineLevel="1" x14ac:dyDescent="0.25">
      <c r="A112" s="51"/>
      <c r="B112" s="11" t="str">
        <f>CONCATENATE("          ", "5542", " - ", "FREIGHT-IN-EVERYDAY GIFTS")</f>
        <v xml:space="preserve">          5542 - FREIGHT-IN-EVERYDAY GIFTS</v>
      </c>
      <c r="C112" s="11"/>
      <c r="D112" s="2">
        <v>21</v>
      </c>
      <c r="E112" s="2"/>
      <c r="F112" s="22">
        <f t="shared" si="10"/>
        <v>1.8923579915990112E-4</v>
      </c>
      <c r="G112" s="2"/>
      <c r="H112" s="2"/>
      <c r="I112" s="2"/>
      <c r="J112" s="22">
        <f t="shared" si="11"/>
        <v>0</v>
      </c>
      <c r="K112" s="2"/>
      <c r="L112" s="2">
        <f t="shared" si="12"/>
        <v>21</v>
      </c>
      <c r="M112" s="2"/>
      <c r="N112" s="22">
        <f t="shared" si="13"/>
        <v>0</v>
      </c>
      <c r="O112" s="11"/>
      <c r="P112" s="2">
        <v>196.55</v>
      </c>
      <c r="Q112" s="2"/>
      <c r="R112" s="22">
        <f t="shared" si="14"/>
        <v>7.9653281807001174E-5</v>
      </c>
      <c r="S112" s="2"/>
      <c r="T112" s="2"/>
      <c r="U112" s="2"/>
      <c r="V112" s="22">
        <f t="shared" si="15"/>
        <v>0</v>
      </c>
      <c r="W112" s="2"/>
      <c r="X112" s="2">
        <f t="shared" si="16"/>
        <v>196.55</v>
      </c>
      <c r="Y112" s="2"/>
      <c r="Z112" s="22">
        <f t="shared" si="17"/>
        <v>0</v>
      </c>
    </row>
    <row r="113" spans="1:26" s="24" customFormat="1" hidden="1" outlineLevel="1" x14ac:dyDescent="0.25">
      <c r="A113" s="51"/>
      <c r="B113" s="11" t="str">
        <f>CONCATENATE("          ", "5543", " - ", "FREIGHT-IN-CARDS")</f>
        <v xml:space="preserve">          5543 - FREIGHT-IN-CARDS</v>
      </c>
      <c r="C113" s="11"/>
      <c r="D113" s="2">
        <v>6323.12</v>
      </c>
      <c r="E113" s="2"/>
      <c r="F113" s="22">
        <f t="shared" si="10"/>
        <v>5.6979079351616856E-2</v>
      </c>
      <c r="G113" s="2"/>
      <c r="H113" s="2"/>
      <c r="I113" s="2"/>
      <c r="J113" s="22">
        <f t="shared" si="11"/>
        <v>0</v>
      </c>
      <c r="K113" s="2"/>
      <c r="L113" s="2">
        <f t="shared" si="12"/>
        <v>6323.12</v>
      </c>
      <c r="M113" s="2"/>
      <c r="N113" s="22">
        <f t="shared" si="13"/>
        <v>0</v>
      </c>
      <c r="O113" s="11"/>
      <c r="P113" s="2">
        <v>6512.31</v>
      </c>
      <c r="Q113" s="2"/>
      <c r="R113" s="22">
        <f t="shared" si="14"/>
        <v>2.6391598252075901E-3</v>
      </c>
      <c r="S113" s="2"/>
      <c r="T113" s="2"/>
      <c r="U113" s="2"/>
      <c r="V113" s="22">
        <f t="shared" si="15"/>
        <v>0</v>
      </c>
      <c r="W113" s="2"/>
      <c r="X113" s="2">
        <f t="shared" si="16"/>
        <v>6512.31</v>
      </c>
      <c r="Y113" s="2"/>
      <c r="Z113" s="22">
        <f t="shared" si="17"/>
        <v>0</v>
      </c>
    </row>
    <row r="114" spans="1:26" s="24" customFormat="1" hidden="1" outlineLevel="1" x14ac:dyDescent="0.25">
      <c r="A114" s="51"/>
      <c r="B114" s="11" t="str">
        <f>CONCATENATE("          ", "5545", " - ", "FREIGHT-IN-SPECIAL ORDERS")</f>
        <v xml:space="preserve">          5545 - FREIGHT-IN-SPECIAL ORDERS</v>
      </c>
      <c r="C114" s="11"/>
      <c r="D114" s="2">
        <v>37.590000000000003</v>
      </c>
      <c r="E114" s="2"/>
      <c r="F114" s="22">
        <f t="shared" si="10"/>
        <v>3.3873208049622303E-4</v>
      </c>
      <c r="G114" s="2"/>
      <c r="H114" s="2"/>
      <c r="I114" s="2"/>
      <c r="J114" s="22">
        <f t="shared" si="11"/>
        <v>0</v>
      </c>
      <c r="K114" s="2"/>
      <c r="L114" s="2">
        <f t="shared" si="12"/>
        <v>37.590000000000003</v>
      </c>
      <c r="M114" s="2"/>
      <c r="N114" s="22">
        <f t="shared" si="13"/>
        <v>0</v>
      </c>
      <c r="O114" s="11"/>
      <c r="P114" s="2">
        <v>887.86</v>
      </c>
      <c r="Q114" s="2"/>
      <c r="R114" s="22">
        <f t="shared" si="14"/>
        <v>3.5981156339437328E-4</v>
      </c>
      <c r="S114" s="2"/>
      <c r="T114" s="2"/>
      <c r="U114" s="2"/>
      <c r="V114" s="22">
        <f t="shared" si="15"/>
        <v>0</v>
      </c>
      <c r="W114" s="2"/>
      <c r="X114" s="2">
        <f t="shared" si="16"/>
        <v>887.86</v>
      </c>
      <c r="Y114" s="2"/>
      <c r="Z114" s="22">
        <f t="shared" si="17"/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5" t="s">
        <v>6</v>
      </c>
      <c r="C116" s="25"/>
      <c r="D116" s="21">
        <f>D12-D78</f>
        <v>49628.560000000019</v>
      </c>
      <c r="E116" s="13"/>
      <c r="F116" s="20">
        <f>IF(D$12=0,0,D116/D$12)</f>
        <v>0.44721429584548128</v>
      </c>
      <c r="G116" s="13"/>
      <c r="H116" s="21">
        <f>H12-H78</f>
        <v>214366</v>
      </c>
      <c r="I116" s="13"/>
      <c r="J116" s="20">
        <f>IF(H$12=0,0,H116/H$12)</f>
        <v>0.54581054518418937</v>
      </c>
      <c r="K116" s="16"/>
      <c r="L116" s="21">
        <f>+D116-H116</f>
        <v>-164737.43999999997</v>
      </c>
      <c r="M116" s="16"/>
      <c r="N116" s="20">
        <f>IF(H116=0,0,L116/H116)</f>
        <v>-0.76848679361465888</v>
      </c>
      <c r="O116" s="26"/>
      <c r="P116" s="21">
        <f>P12-P78</f>
        <v>856953.01999999979</v>
      </c>
      <c r="Q116" s="13"/>
      <c r="R116" s="20">
        <f>IF(P$12=0,0,P116/P$12)</f>
        <v>0.34728629049819737</v>
      </c>
      <c r="S116" s="13"/>
      <c r="T116" s="21">
        <f>T12-T78</f>
        <v>1798599</v>
      </c>
      <c r="U116" s="13"/>
      <c r="V116" s="20">
        <f>IF(T$12=0,0,T116/T$12)</f>
        <v>0.39954136908193177</v>
      </c>
      <c r="W116" s="16"/>
      <c r="X116" s="21">
        <f>+P116-T116</f>
        <v>-941645.98000000021</v>
      </c>
      <c r="Y116" s="16"/>
      <c r="Z116" s="20">
        <f>IF(T116=0,0,X116/T116)</f>
        <v>-0.52354414741696187</v>
      </c>
    </row>
    <row r="117" spans="1:26" x14ac:dyDescent="0.25">
      <c r="A117" s="9"/>
      <c r="B117" s="10"/>
      <c r="C117" s="9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6" t="s">
        <v>9</v>
      </c>
      <c r="C118" s="10"/>
      <c r="D118" s="19">
        <f>SUM(OSRRefD22x_0)</f>
        <v>261303.51</v>
      </c>
      <c r="E118" s="19"/>
      <c r="F118" s="35">
        <f t="shared" ref="F118:F129" si="18">IF(D$12=0,0,D118/D$12)</f>
        <v>2.3546656446732008</v>
      </c>
      <c r="G118" s="19"/>
      <c r="H118" s="19">
        <f>SUM(OSRRefH22x_0)</f>
        <v>353635.34919031541</v>
      </c>
      <c r="I118" s="19"/>
      <c r="J118" s="35">
        <f t="shared" ref="J118:J129" si="19">IF(H$12=0,0,H118/H$12)</f>
        <v>0.90041285809301486</v>
      </c>
      <c r="K118" s="4"/>
      <c r="L118" s="19">
        <f t="shared" ref="L118:L129" si="20">+D118-H118</f>
        <v>-92331.839190315397</v>
      </c>
      <c r="M118" s="4"/>
      <c r="N118" s="35">
        <f t="shared" ref="N118:N129" si="21">IF(H118=0,0,L118/H118)</f>
        <v>-0.26109335337012735</v>
      </c>
      <c r="O118" s="10"/>
      <c r="P118" s="19">
        <f>SUM(OSRRefP22x_0)</f>
        <v>1510379.6199999992</v>
      </c>
      <c r="Q118" s="19"/>
      <c r="R118" s="35">
        <f t="shared" ref="R118:R129" si="22">IF(P$12=0,0,P118/P$12)</f>
        <v>0.61209205549433365</v>
      </c>
      <c r="S118" s="19"/>
      <c r="T118" s="19">
        <f>SUM(OSRRefT22x_0)</f>
        <v>2136572.3924621344</v>
      </c>
      <c r="U118" s="19"/>
      <c r="V118" s="35">
        <f t="shared" ref="V118:V129" si="23">IF(T$12=0,0,T118/T$12)</f>
        <v>0.47461888882790421</v>
      </c>
      <c r="W118" s="4"/>
      <c r="X118" s="19">
        <f t="shared" ref="X118:X129" si="24">+P118-T118</f>
        <v>-626192.77246213518</v>
      </c>
      <c r="Y118" s="4"/>
      <c r="Z118" s="35">
        <f t="shared" ref="Z118:Z129" si="25">IF(T118=0,0,X118/T118)</f>
        <v>-0.29308287173949943</v>
      </c>
    </row>
    <row r="119" spans="1:26" s="29" customFormat="1" outlineLevel="1" collapsed="1" x14ac:dyDescent="0.25">
      <c r="A119" s="27"/>
      <c r="B119" s="14" t="str">
        <f>CONCATENATE("     ","*Benefits                                         ")</f>
        <v xml:space="preserve">     *Benefits                                         </v>
      </c>
      <c r="C119" s="14"/>
      <c r="D119" s="1">
        <f>SUM(OSRRefD22_0x_0)</f>
        <v>48664.140000000007</v>
      </c>
      <c r="E119" s="1"/>
      <c r="F119" s="5">
        <f t="shared" si="18"/>
        <v>0.43852368682520537</v>
      </c>
      <c r="G119" s="1"/>
      <c r="H119" s="1">
        <f>SUM(OSRRefH22_0x_0)</f>
        <v>47926.37140816154</v>
      </c>
      <c r="I119" s="1"/>
      <c r="J119" s="5">
        <f t="shared" si="19"/>
        <v>0.12202830162893646</v>
      </c>
      <c r="K119" s="1"/>
      <c r="L119" s="1">
        <f t="shared" si="20"/>
        <v>737.76859183846682</v>
      </c>
      <c r="M119" s="1"/>
      <c r="N119" s="5">
        <f t="shared" si="21"/>
        <v>1.5393791980521808E-2</v>
      </c>
      <c r="O119" s="14"/>
      <c r="P119" s="1">
        <f>SUM(OSRRefP22_0x_0)</f>
        <v>256939.63999999996</v>
      </c>
      <c r="Q119" s="1"/>
      <c r="R119" s="5">
        <f t="shared" si="22"/>
        <v>0.10412661181536213</v>
      </c>
      <c r="S119" s="1"/>
      <c r="T119" s="1">
        <f>SUM(OSRRefT22_0x_0)</f>
        <v>267418.96266028838</v>
      </c>
      <c r="U119" s="1"/>
      <c r="V119" s="5">
        <f t="shared" si="23"/>
        <v>5.9404535674578721E-2</v>
      </c>
      <c r="W119" s="1"/>
      <c r="X119" s="1">
        <f t="shared" si="24"/>
        <v>-10479.322660288424</v>
      </c>
      <c r="Y119" s="1"/>
      <c r="Z119" s="5">
        <f t="shared" si="25"/>
        <v>-3.9186909395055404E-2</v>
      </c>
    </row>
    <row r="120" spans="1:26" s="24" customFormat="1" hidden="1" outlineLevel="2" x14ac:dyDescent="0.25">
      <c r="A120" s="28"/>
      <c r="B120" s="11" t="str">
        <f>CONCATENATE("          ", "6111", " - ", "F.I.C.A.")</f>
        <v xml:space="preserve">          6111 - F.I.C.A.</v>
      </c>
      <c r="C120" s="11"/>
      <c r="D120" s="6">
        <v>6830.29</v>
      </c>
      <c r="E120" s="2"/>
      <c r="F120" s="7">
        <f t="shared" si="18"/>
        <v>6.1549304125899103E-2</v>
      </c>
      <c r="G120" s="2"/>
      <c r="H120" s="6">
        <v>7302.6660876230781</v>
      </c>
      <c r="I120" s="2"/>
      <c r="J120" s="7">
        <f t="shared" si="19"/>
        <v>1.8593770274127629E-2</v>
      </c>
      <c r="K120" s="2"/>
      <c r="L120" s="6">
        <f t="shared" si="20"/>
        <v>-472.37608762307809</v>
      </c>
      <c r="M120" s="2"/>
      <c r="N120" s="7">
        <f t="shared" si="21"/>
        <v>-6.4685428849565588E-2</v>
      </c>
      <c r="O120" s="11"/>
      <c r="P120" s="6">
        <v>52109.88</v>
      </c>
      <c r="Q120" s="2"/>
      <c r="R120" s="7">
        <f t="shared" si="22"/>
        <v>2.1117898532531234E-2</v>
      </c>
      <c r="S120" s="2"/>
      <c r="T120" s="6">
        <v>50467.406059326924</v>
      </c>
      <c r="U120" s="2"/>
      <c r="V120" s="7">
        <f t="shared" si="23"/>
        <v>1.121084605904777E-2</v>
      </c>
      <c r="W120" s="2"/>
      <c r="X120" s="6">
        <f t="shared" si="24"/>
        <v>1642.4739406730732</v>
      </c>
      <c r="Y120" s="2"/>
      <c r="Z120" s="7">
        <f t="shared" si="25"/>
        <v>3.2545241947689249E-2</v>
      </c>
    </row>
    <row r="121" spans="1:26" s="24" customFormat="1" hidden="1" outlineLevel="2" x14ac:dyDescent="0.25">
      <c r="A121" s="28"/>
      <c r="B121" s="11" t="str">
        <f>CONCATENATE("          ", "6112", " - ", "COMPENSATION INSURANCE")</f>
        <v xml:space="preserve">          6112 - COMPENSATION INSURANCE</v>
      </c>
      <c r="C121" s="11"/>
      <c r="D121" s="6">
        <v>2948.75</v>
      </c>
      <c r="E121" s="2"/>
      <c r="F121" s="7">
        <f t="shared" si="18"/>
        <v>2.6571860132036117E-2</v>
      </c>
      <c r="G121" s="2"/>
      <c r="H121" s="6">
        <v>2914.411688076922</v>
      </c>
      <c r="I121" s="2"/>
      <c r="J121" s="7">
        <f t="shared" si="19"/>
        <v>7.4205640463526788E-3</v>
      </c>
      <c r="K121" s="2"/>
      <c r="L121" s="6">
        <f t="shared" si="20"/>
        <v>34.338311923077981</v>
      </c>
      <c r="M121" s="2"/>
      <c r="N121" s="7">
        <f t="shared" si="21"/>
        <v>1.1782244788393693E-2</v>
      </c>
      <c r="O121" s="11"/>
      <c r="P121" s="6">
        <v>13567.33</v>
      </c>
      <c r="Q121" s="2"/>
      <c r="R121" s="7">
        <f t="shared" si="22"/>
        <v>5.4982567278482894E-3</v>
      </c>
      <c r="S121" s="2"/>
      <c r="T121" s="6">
        <v>17739.341014423069</v>
      </c>
      <c r="U121" s="2"/>
      <c r="V121" s="7">
        <f t="shared" si="23"/>
        <v>3.9406230046351957E-3</v>
      </c>
      <c r="W121" s="2"/>
      <c r="X121" s="6">
        <f t="shared" si="24"/>
        <v>-4172.0110144230694</v>
      </c>
      <c r="Y121" s="2"/>
      <c r="Z121" s="7">
        <f t="shared" si="25"/>
        <v>-0.23518410357132166</v>
      </c>
    </row>
    <row r="122" spans="1:26" s="24" customFormat="1" hidden="1" outlineLevel="2" x14ac:dyDescent="0.25">
      <c r="A122" s="28"/>
      <c r="B122" s="11" t="str">
        <f>CONCATENATE("          ", "6113", " - ", "GROUP INSURANCE")</f>
        <v xml:space="preserve">          6113 - GROUP INSURANCE</v>
      </c>
      <c r="C122" s="11"/>
      <c r="D122" s="6">
        <v>17506.16</v>
      </c>
      <c r="E122" s="2"/>
      <c r="F122" s="7">
        <f t="shared" si="18"/>
        <v>0.15775200846767118</v>
      </c>
      <c r="G122" s="2"/>
      <c r="H122" s="6">
        <v>21247.5</v>
      </c>
      <c r="I122" s="2"/>
      <c r="J122" s="7">
        <f t="shared" si="19"/>
        <v>5.4099575300192493E-2</v>
      </c>
      <c r="K122" s="2"/>
      <c r="L122" s="6">
        <f t="shared" si="20"/>
        <v>-3741.34</v>
      </c>
      <c r="M122" s="2"/>
      <c r="N122" s="7">
        <f t="shared" si="21"/>
        <v>-0.17608377456171315</v>
      </c>
      <c r="O122" s="11"/>
      <c r="P122" s="6">
        <v>88827.76</v>
      </c>
      <c r="Q122" s="2"/>
      <c r="R122" s="7">
        <f t="shared" si="22"/>
        <v>3.5998079875678789E-2</v>
      </c>
      <c r="S122" s="2"/>
      <c r="T122" s="6">
        <v>107797.49999999997</v>
      </c>
      <c r="U122" s="2"/>
      <c r="V122" s="7">
        <f t="shared" si="23"/>
        <v>2.3946171844646601E-2</v>
      </c>
      <c r="W122" s="2"/>
      <c r="X122" s="6">
        <f t="shared" si="24"/>
        <v>-18969.739999999976</v>
      </c>
      <c r="Y122" s="2"/>
      <c r="Z122" s="7">
        <f t="shared" si="25"/>
        <v>-0.17597569516918279</v>
      </c>
    </row>
    <row r="123" spans="1:26" s="24" customFormat="1" hidden="1" outlineLevel="2" x14ac:dyDescent="0.25">
      <c r="A123" s="28"/>
      <c r="B123" s="11" t="str">
        <f>CONCATENATE("          ", "6114", " - ", "STATE UNEMPLOYMENT INSURANCE")</f>
        <v xml:space="preserve">          6114 - STATE UNEMPLOYMENT INSURANCE</v>
      </c>
      <c r="C123" s="11"/>
      <c r="D123" s="6">
        <v>549.53</v>
      </c>
      <c r="E123" s="2"/>
      <c r="F123" s="7">
        <f t="shared" si="18"/>
        <v>4.9519404148733554E-3</v>
      </c>
      <c r="G123" s="2"/>
      <c r="H123" s="6">
        <v>413.88559400000003</v>
      </c>
      <c r="I123" s="2"/>
      <c r="J123" s="7">
        <f t="shared" si="19"/>
        <v>1.0538197368287045E-3</v>
      </c>
      <c r="K123" s="2"/>
      <c r="L123" s="6">
        <f t="shared" si="20"/>
        <v>135.64440599999995</v>
      </c>
      <c r="M123" s="2"/>
      <c r="N123" s="7">
        <f t="shared" si="21"/>
        <v>0.3277340597653175</v>
      </c>
      <c r="O123" s="11"/>
      <c r="P123" s="6">
        <v>2080.42</v>
      </c>
      <c r="Q123" s="2"/>
      <c r="R123" s="7">
        <f t="shared" si="22"/>
        <v>8.4310496330155887E-4</v>
      </c>
      <c r="S123" s="2"/>
      <c r="T123" s="6">
        <v>2509.9289750000003</v>
      </c>
      <c r="U123" s="2"/>
      <c r="V123" s="7">
        <f t="shared" si="23"/>
        <v>5.5755644196950511E-4</v>
      </c>
      <c r="W123" s="2"/>
      <c r="X123" s="6">
        <f t="shared" si="24"/>
        <v>-429.50897500000019</v>
      </c>
      <c r="Y123" s="2"/>
      <c r="Z123" s="7">
        <f t="shared" si="25"/>
        <v>-0.17112395580835116</v>
      </c>
    </row>
    <row r="124" spans="1:26" s="24" customFormat="1" hidden="1" outlineLevel="2" x14ac:dyDescent="0.25">
      <c r="A124" s="28"/>
      <c r="B124" s="11" t="str">
        <f>CONCATENATE("          ", "6115", " - ", "P.E.R.S.")</f>
        <v xml:space="preserve">          6115 - P.E.R.S.</v>
      </c>
      <c r="C124" s="11"/>
      <c r="D124" s="6">
        <v>9608.6200000000008</v>
      </c>
      <c r="E124" s="2"/>
      <c r="F124" s="7">
        <f t="shared" si="18"/>
        <v>8.6585470691609975E-2</v>
      </c>
      <c r="G124" s="2"/>
      <c r="H124" s="6">
        <v>5529.1917153846161</v>
      </c>
      <c r="I124" s="2"/>
      <c r="J124" s="7">
        <f t="shared" si="19"/>
        <v>1.4078217369368186E-2</v>
      </c>
      <c r="K124" s="2"/>
      <c r="L124" s="6">
        <f t="shared" si="20"/>
        <v>4079.4282846153847</v>
      </c>
      <c r="M124" s="2"/>
      <c r="N124" s="7">
        <f t="shared" si="21"/>
        <v>0.73779830662493417</v>
      </c>
      <c r="O124" s="11"/>
      <c r="P124" s="6">
        <v>39086.75</v>
      </c>
      <c r="Q124" s="2"/>
      <c r="R124" s="7">
        <f t="shared" si="22"/>
        <v>1.5840182715185974E-2</v>
      </c>
      <c r="S124" s="2"/>
      <c r="T124" s="6">
        <v>30410.554434615384</v>
      </c>
      <c r="U124" s="2"/>
      <c r="V124" s="7">
        <f t="shared" si="23"/>
        <v>6.7554104908024758E-3</v>
      </c>
      <c r="W124" s="2"/>
      <c r="X124" s="6">
        <f t="shared" si="24"/>
        <v>8676.1955653846162</v>
      </c>
      <c r="Y124" s="2"/>
      <c r="Z124" s="7">
        <f t="shared" si="25"/>
        <v>0.28530211719878323</v>
      </c>
    </row>
    <row r="125" spans="1:26" s="24" customFormat="1" hidden="1" outlineLevel="2" x14ac:dyDescent="0.25">
      <c r="A125" s="28"/>
      <c r="B125" s="11" t="str">
        <f>CONCATENATE("          ", "6116", " - ", "EDUCATIONAL BENEFITS")</f>
        <v xml:space="preserve">          6116 - EDUCATIONAL BENEFITS</v>
      </c>
      <c r="C125" s="11"/>
      <c r="D125" s="6"/>
      <c r="E125" s="2"/>
      <c r="F125" s="7">
        <f t="shared" si="18"/>
        <v>0</v>
      </c>
      <c r="G125" s="2"/>
      <c r="H125" s="6">
        <v>0</v>
      </c>
      <c r="I125" s="2"/>
      <c r="J125" s="7">
        <f t="shared" si="19"/>
        <v>0</v>
      </c>
      <c r="K125" s="2"/>
      <c r="L125" s="6">
        <f t="shared" si="20"/>
        <v>0</v>
      </c>
      <c r="M125" s="2"/>
      <c r="N125" s="7">
        <f t="shared" si="21"/>
        <v>0</v>
      </c>
      <c r="O125" s="11"/>
      <c r="P125" s="6">
        <v>0</v>
      </c>
      <c r="Q125" s="2"/>
      <c r="R125" s="7">
        <f t="shared" si="22"/>
        <v>0</v>
      </c>
      <c r="S125" s="2"/>
      <c r="T125" s="6">
        <v>0</v>
      </c>
      <c r="U125" s="2"/>
      <c r="V125" s="7">
        <f t="shared" si="23"/>
        <v>0</v>
      </c>
      <c r="W125" s="2"/>
      <c r="X125" s="6">
        <f t="shared" si="24"/>
        <v>0</v>
      </c>
      <c r="Y125" s="2"/>
      <c r="Z125" s="7">
        <f t="shared" si="25"/>
        <v>0</v>
      </c>
    </row>
    <row r="126" spans="1:26" s="24" customFormat="1" hidden="1" outlineLevel="2" x14ac:dyDescent="0.25">
      <c r="A126" s="28"/>
      <c r="B126" s="11" t="str">
        <f>CONCATENATE("          ", "6117", " - ", "RETIREMENT STAFF HOURLY")</f>
        <v xml:space="preserve">          6117 - RETIREMENT STAFF HOURLY</v>
      </c>
      <c r="C126" s="11"/>
      <c r="D126" s="6">
        <v>232.91</v>
      </c>
      <c r="E126" s="2"/>
      <c r="F126" s="7">
        <f t="shared" si="18"/>
        <v>2.0988052372539318E-3</v>
      </c>
      <c r="G126" s="2"/>
      <c r="H126" s="6"/>
      <c r="I126" s="2"/>
      <c r="J126" s="7">
        <f t="shared" si="19"/>
        <v>0</v>
      </c>
      <c r="K126" s="2"/>
      <c r="L126" s="6">
        <f t="shared" si="20"/>
        <v>232.91</v>
      </c>
      <c r="M126" s="2"/>
      <c r="N126" s="7">
        <f t="shared" si="21"/>
        <v>0</v>
      </c>
      <c r="O126" s="11"/>
      <c r="P126" s="6">
        <v>1293.6500000000001</v>
      </c>
      <c r="Q126" s="2"/>
      <c r="R126" s="7">
        <f t="shared" si="22"/>
        <v>5.2426083953002842E-4</v>
      </c>
      <c r="S126" s="2"/>
      <c r="T126" s="6"/>
      <c r="U126" s="2"/>
      <c r="V126" s="7">
        <f t="shared" si="23"/>
        <v>0</v>
      </c>
      <c r="W126" s="2"/>
      <c r="X126" s="6">
        <f t="shared" si="24"/>
        <v>1293.6500000000001</v>
      </c>
      <c r="Y126" s="2"/>
      <c r="Z126" s="7">
        <f t="shared" si="25"/>
        <v>0</v>
      </c>
    </row>
    <row r="127" spans="1:26" s="24" customFormat="1" hidden="1" outlineLevel="2" x14ac:dyDescent="0.25">
      <c r="A127" s="28"/>
      <c r="B127" s="11" t="str">
        <f>CONCATENATE("          ", "6118", " - ", "VACATION")</f>
        <v xml:space="preserve">          6118 - VACATION</v>
      </c>
      <c r="C127" s="11"/>
      <c r="D127" s="6">
        <v>5484.99</v>
      </c>
      <c r="E127" s="2"/>
      <c r="F127" s="7">
        <f t="shared" si="18"/>
        <v>4.9426498382574575E-2</v>
      </c>
      <c r="G127" s="2"/>
      <c r="H127" s="6">
        <v>4320.7234200000012</v>
      </c>
      <c r="I127" s="2"/>
      <c r="J127" s="7">
        <f t="shared" si="19"/>
        <v>1.1001261419536194E-2</v>
      </c>
      <c r="K127" s="2"/>
      <c r="L127" s="6">
        <f t="shared" si="20"/>
        <v>1164.2665799999986</v>
      </c>
      <c r="M127" s="2"/>
      <c r="N127" s="7">
        <f t="shared" si="21"/>
        <v>0.26946102928291538</v>
      </c>
      <c r="O127" s="11"/>
      <c r="P127" s="6">
        <v>29821.31</v>
      </c>
      <c r="Q127" s="2"/>
      <c r="R127" s="7">
        <f t="shared" si="22"/>
        <v>1.2085297427036084E-2</v>
      </c>
      <c r="S127" s="2"/>
      <c r="T127" s="6">
        <v>23763.978809999997</v>
      </c>
      <c r="U127" s="2"/>
      <c r="V127" s="7">
        <f t="shared" si="23"/>
        <v>5.2789380115197525E-3</v>
      </c>
      <c r="W127" s="2"/>
      <c r="X127" s="6">
        <f t="shared" si="24"/>
        <v>6057.3311900000044</v>
      </c>
      <c r="Y127" s="2"/>
      <c r="Z127" s="7">
        <f t="shared" si="25"/>
        <v>0.2548954970222011</v>
      </c>
    </row>
    <row r="128" spans="1:26" s="24" customFormat="1" hidden="1" outlineLevel="2" x14ac:dyDescent="0.25">
      <c r="A128" s="28"/>
      <c r="B128" s="11" t="str">
        <f>CONCATENATE("          ", "6119", " - ", "SICK LEAVE")</f>
        <v xml:space="preserve">          6119 - SICK LEAVE</v>
      </c>
      <c r="C128" s="11"/>
      <c r="D128" s="6">
        <v>3953.98</v>
      </c>
      <c r="E128" s="2"/>
      <c r="F128" s="7">
        <f t="shared" si="18"/>
        <v>3.5630217388679331E-2</v>
      </c>
      <c r="G128" s="2"/>
      <c r="H128" s="6">
        <v>4397.9929030769199</v>
      </c>
      <c r="I128" s="2"/>
      <c r="J128" s="7">
        <f t="shared" si="19"/>
        <v>1.1198002034579222E-2</v>
      </c>
      <c r="K128" s="2"/>
      <c r="L128" s="6">
        <f t="shared" si="20"/>
        <v>-444.01290307691988</v>
      </c>
      <c r="M128" s="2"/>
      <c r="N128" s="7">
        <f t="shared" si="21"/>
        <v>-0.10095807630027778</v>
      </c>
      <c r="O128" s="11"/>
      <c r="P128" s="6">
        <v>21796.3</v>
      </c>
      <c r="Q128" s="2"/>
      <c r="R128" s="7">
        <f t="shared" si="22"/>
        <v>8.8331051958786041E-3</v>
      </c>
      <c r="S128" s="2"/>
      <c r="T128" s="6">
        <v>25730.253366923062</v>
      </c>
      <c r="U128" s="2"/>
      <c r="V128" s="7">
        <f t="shared" si="23"/>
        <v>5.7157268835607185E-3</v>
      </c>
      <c r="W128" s="2"/>
      <c r="X128" s="6">
        <f t="shared" si="24"/>
        <v>-3933.9533669230623</v>
      </c>
      <c r="Y128" s="2"/>
      <c r="Z128" s="7">
        <f t="shared" si="25"/>
        <v>-0.15289213482756708</v>
      </c>
    </row>
    <row r="129" spans="1:26" s="24" customFormat="1" hidden="1" outlineLevel="2" x14ac:dyDescent="0.25">
      <c r="A129" s="28"/>
      <c r="B129" s="11" t="str">
        <f>CONCATENATE("          ", "6156", " - ", "EMPLOYEE MEALS")</f>
        <v xml:space="preserve">          6156 - EMPLOYEE MEALS</v>
      </c>
      <c r="C129" s="11"/>
      <c r="D129" s="6">
        <v>1548.91</v>
      </c>
      <c r="E129" s="2"/>
      <c r="F129" s="7">
        <f t="shared" si="18"/>
        <v>1.3957581984607738E-2</v>
      </c>
      <c r="G129" s="2"/>
      <c r="H129" s="6">
        <v>1800</v>
      </c>
      <c r="I129" s="2"/>
      <c r="J129" s="7">
        <f t="shared" si="19"/>
        <v>4.5830914479513584E-3</v>
      </c>
      <c r="K129" s="2"/>
      <c r="L129" s="6">
        <f t="shared" si="20"/>
        <v>-251.08999999999992</v>
      </c>
      <c r="M129" s="2"/>
      <c r="N129" s="7">
        <f t="shared" si="21"/>
        <v>-0.13949444444444439</v>
      </c>
      <c r="O129" s="11"/>
      <c r="P129" s="6">
        <v>8356.24</v>
      </c>
      <c r="Q129" s="2"/>
      <c r="R129" s="7">
        <f t="shared" si="22"/>
        <v>3.3864255383715875E-3</v>
      </c>
      <c r="S129" s="2"/>
      <c r="T129" s="6">
        <v>9000</v>
      </c>
      <c r="U129" s="2"/>
      <c r="V129" s="7">
        <f t="shared" si="23"/>
        <v>1.9992629383967109E-3</v>
      </c>
      <c r="W129" s="2"/>
      <c r="X129" s="6">
        <f t="shared" si="24"/>
        <v>-643.76000000000022</v>
      </c>
      <c r="Y129" s="2"/>
      <c r="Z129" s="7">
        <f t="shared" si="25"/>
        <v>-7.152888888888892E-2</v>
      </c>
    </row>
    <row r="130" spans="1:26" s="29" customFormat="1" outlineLevel="1" collapsed="1" x14ac:dyDescent="0.25">
      <c r="A130" s="27"/>
      <c r="B130" s="14" t="str">
        <f>CONCATENATE("     ","*Payroll                                          ")</f>
        <v xml:space="preserve">     *Payroll                                          </v>
      </c>
      <c r="C130" s="14"/>
      <c r="D130" s="1">
        <f>SUM(OSRRefD22_1x_0)</f>
        <v>96374.430000000008</v>
      </c>
      <c r="E130" s="1"/>
      <c r="F130" s="5">
        <f t="shared" ref="F130:F140" si="26">IF(D$12=0,0,D130/D$12)</f>
        <v>0.86845201331571198</v>
      </c>
      <c r="G130" s="1"/>
      <c r="H130" s="1">
        <f>SUM(OSRRefH22_1x_0)</f>
        <v>146715.97778215387</v>
      </c>
      <c r="I130" s="1"/>
      <c r="J130" s="5">
        <f t="shared" ref="J130:J140" si="27">IF(H$12=0,0,H130/H$12)</f>
        <v>0.3735626350284505</v>
      </c>
      <c r="K130" s="1"/>
      <c r="L130" s="1">
        <f t="shared" ref="L130:L140" si="28">+D130-H130</f>
        <v>-50341.547782153866</v>
      </c>
      <c r="M130" s="1"/>
      <c r="N130" s="5">
        <f t="shared" ref="N130:N140" si="29">IF(H130=0,0,L130/H130)</f>
        <v>-0.34312246384576983</v>
      </c>
      <c r="O130" s="14"/>
      <c r="P130" s="1">
        <f>SUM(OSRRefP22_1x_0)</f>
        <v>652370.24</v>
      </c>
      <c r="Q130" s="1"/>
      <c r="R130" s="5">
        <f t="shared" ref="R130:R140" si="30">IF(P$12=0,0,P130/P$12)</f>
        <v>0.26437766761241915</v>
      </c>
      <c r="S130" s="1"/>
      <c r="T130" s="1">
        <f>SUM(OSRRefT22_1x_0)</f>
        <v>899683.42980184639</v>
      </c>
      <c r="U130" s="1"/>
      <c r="V130" s="5">
        <f t="shared" ref="V130:V140" si="31">IF(T$12=0,0,T130/T$12)</f>
        <v>0.19985597083249673</v>
      </c>
      <c r="W130" s="1"/>
      <c r="X130" s="1">
        <f t="shared" ref="X130:X140" si="32">+P130-T130</f>
        <v>-247313.1898018464</v>
      </c>
      <c r="Y130" s="1"/>
      <c r="Z130" s="5">
        <f t="shared" ref="Z130:Z140" si="33">IF(T130=0,0,X130/T130)</f>
        <v>-0.27488912389585374</v>
      </c>
    </row>
    <row r="131" spans="1:26" s="24" customFormat="1" hidden="1" outlineLevel="2" x14ac:dyDescent="0.25">
      <c r="A131" s="28"/>
      <c r="B131" s="11" t="str">
        <f>CONCATENATE("          ", "6001", " - ", "ADMINISTRATIVE SALARIES")</f>
        <v xml:space="preserve">          6001 - ADMINISTRATIVE SALARIES</v>
      </c>
      <c r="C131" s="11"/>
      <c r="D131" s="6">
        <v>3995.45</v>
      </c>
      <c r="E131" s="2"/>
      <c r="F131" s="7">
        <f t="shared" si="26"/>
        <v>3.6003913035877473E-2</v>
      </c>
      <c r="G131" s="2"/>
      <c r="H131" s="6">
        <v>13047.392307692309</v>
      </c>
      <c r="I131" s="2"/>
      <c r="J131" s="7">
        <f t="shared" si="27"/>
        <v>3.3220773390806091E-2</v>
      </c>
      <c r="K131" s="2"/>
      <c r="L131" s="6">
        <f t="shared" si="28"/>
        <v>-9051.9423076923085</v>
      </c>
      <c r="M131" s="2"/>
      <c r="N131" s="7">
        <f t="shared" si="29"/>
        <v>-0.69377405800510683</v>
      </c>
      <c r="O131" s="11"/>
      <c r="P131" s="6">
        <v>21137.95</v>
      </c>
      <c r="Q131" s="2"/>
      <c r="R131" s="7">
        <f t="shared" si="30"/>
        <v>8.5663041881063363E-3</v>
      </c>
      <c r="S131" s="2"/>
      <c r="T131" s="6">
        <v>71760.657692307708</v>
      </c>
      <c r="U131" s="2"/>
      <c r="V131" s="7">
        <f t="shared" si="31"/>
        <v>1.5940935928800408E-2</v>
      </c>
      <c r="W131" s="2"/>
      <c r="X131" s="6">
        <f t="shared" si="32"/>
        <v>-50622.707692307711</v>
      </c>
      <c r="Y131" s="2"/>
      <c r="Z131" s="7">
        <f t="shared" si="33"/>
        <v>-0.70543817908366446</v>
      </c>
    </row>
    <row r="132" spans="1:26" s="24" customFormat="1" hidden="1" outlineLevel="2" x14ac:dyDescent="0.25">
      <c r="A132" s="28"/>
      <c r="B132" s="11" t="str">
        <f>CONCATENATE("          ", "6002", " - ", "STAFF SALARIES")</f>
        <v xml:space="preserve">          6002 - STAFF SALARIES</v>
      </c>
      <c r="C132" s="11"/>
      <c r="D132" s="6">
        <v>52152.77</v>
      </c>
      <c r="E132" s="2"/>
      <c r="F132" s="7">
        <f t="shared" si="26"/>
        <v>0.46996052901678648</v>
      </c>
      <c r="G132" s="2"/>
      <c r="H132" s="6">
        <v>44951.275394461554</v>
      </c>
      <c r="I132" s="2"/>
      <c r="J132" s="7">
        <f t="shared" si="27"/>
        <v>0.11445322546381281</v>
      </c>
      <c r="K132" s="2"/>
      <c r="L132" s="6">
        <f t="shared" si="28"/>
        <v>7201.4946055384426</v>
      </c>
      <c r="M132" s="2"/>
      <c r="N132" s="7">
        <f t="shared" si="29"/>
        <v>0.16020668028533266</v>
      </c>
      <c r="O132" s="11"/>
      <c r="P132" s="6">
        <v>314786.36</v>
      </c>
      <c r="Q132" s="2"/>
      <c r="R132" s="7">
        <f t="shared" si="30"/>
        <v>0.12756940545449058</v>
      </c>
      <c r="S132" s="2"/>
      <c r="T132" s="6">
        <v>247232.01466953859</v>
      </c>
      <c r="U132" s="2"/>
      <c r="V132" s="7">
        <f t="shared" si="31"/>
        <v>5.4920200457106723E-2</v>
      </c>
      <c r="W132" s="2"/>
      <c r="X132" s="6">
        <f t="shared" si="32"/>
        <v>67554.345330461394</v>
      </c>
      <c r="Y132" s="2"/>
      <c r="Z132" s="7">
        <f t="shared" si="33"/>
        <v>0.27324270855761768</v>
      </c>
    </row>
    <row r="133" spans="1:26" s="24" customFormat="1" hidden="1" outlineLevel="2" x14ac:dyDescent="0.25">
      <c r="A133" s="28"/>
      <c r="B133" s="11" t="str">
        <f>CONCATENATE("          ", "6003", " - ", "STAFF HOURLY-9 MONTH")</f>
        <v xml:space="preserve">          6003 - STAFF HOURLY-9 MONTH</v>
      </c>
      <c r="C133" s="11"/>
      <c r="D133" s="6"/>
      <c r="E133" s="2"/>
      <c r="F133" s="7">
        <f t="shared" si="26"/>
        <v>0</v>
      </c>
      <c r="G133" s="2"/>
      <c r="H133" s="6">
        <v>0</v>
      </c>
      <c r="I133" s="2"/>
      <c r="J133" s="7">
        <f t="shared" si="27"/>
        <v>0</v>
      </c>
      <c r="K133" s="2"/>
      <c r="L133" s="6">
        <f t="shared" si="28"/>
        <v>0</v>
      </c>
      <c r="M133" s="2"/>
      <c r="N133" s="7">
        <f t="shared" si="29"/>
        <v>0</v>
      </c>
      <c r="O133" s="11"/>
      <c r="P133" s="6"/>
      <c r="Q133" s="2"/>
      <c r="R133" s="7">
        <f t="shared" si="30"/>
        <v>0</v>
      </c>
      <c r="S133" s="2"/>
      <c r="T133" s="6">
        <v>0</v>
      </c>
      <c r="U133" s="2"/>
      <c r="V133" s="7">
        <f t="shared" si="31"/>
        <v>0</v>
      </c>
      <c r="W133" s="2"/>
      <c r="X133" s="6">
        <f t="shared" si="32"/>
        <v>0</v>
      </c>
      <c r="Y133" s="2"/>
      <c r="Z133" s="7">
        <f t="shared" si="33"/>
        <v>0</v>
      </c>
    </row>
    <row r="134" spans="1:26" s="24" customFormat="1" hidden="1" outlineLevel="2" x14ac:dyDescent="0.25">
      <c r="A134" s="28"/>
      <c r="B134" s="11" t="str">
        <f>CONCATENATE("          ", "6004", " - ", "STAFF HOURLY")</f>
        <v xml:space="preserve">          6004 - STAFF HOURLY</v>
      </c>
      <c r="C134" s="11"/>
      <c r="D134" s="6">
        <v>11939.34</v>
      </c>
      <c r="E134" s="2"/>
      <c r="F134" s="7">
        <f t="shared" si="26"/>
        <v>0.10758812125437019</v>
      </c>
      <c r="G134" s="2"/>
      <c r="H134" s="6">
        <v>27679.69008</v>
      </c>
      <c r="I134" s="2"/>
      <c r="J134" s="7">
        <f t="shared" si="27"/>
        <v>7.047697271532892E-2</v>
      </c>
      <c r="K134" s="2"/>
      <c r="L134" s="6">
        <f t="shared" si="28"/>
        <v>-15740.35008</v>
      </c>
      <c r="M134" s="2"/>
      <c r="N134" s="7">
        <f t="shared" si="29"/>
        <v>-0.56866063292280911</v>
      </c>
      <c r="O134" s="11"/>
      <c r="P134" s="6">
        <v>75516.14</v>
      </c>
      <c r="Q134" s="2"/>
      <c r="R134" s="7">
        <f t="shared" si="30"/>
        <v>3.0603451439312916E-2</v>
      </c>
      <c r="S134" s="2"/>
      <c r="T134" s="6">
        <v>149400.87544</v>
      </c>
      <c r="U134" s="2"/>
      <c r="V134" s="7">
        <f t="shared" si="31"/>
        <v>3.3187959247912825E-2</v>
      </c>
      <c r="W134" s="2"/>
      <c r="X134" s="6">
        <f t="shared" si="32"/>
        <v>-73884.735440000004</v>
      </c>
      <c r="Y134" s="2"/>
      <c r="Z134" s="7">
        <f t="shared" si="33"/>
        <v>-0.49454017737447875</v>
      </c>
    </row>
    <row r="135" spans="1:26" s="24" customFormat="1" hidden="1" outlineLevel="2" x14ac:dyDescent="0.25">
      <c r="A135" s="28"/>
      <c r="B135" s="11" t="str">
        <f>CONCATENATE("          ", "6005", " - ", "TEMPORARY WAGES-HOURLY")</f>
        <v xml:space="preserve">          6005 - TEMPORARY WAGES-HOURLY</v>
      </c>
      <c r="C135" s="11"/>
      <c r="D135" s="6">
        <v>7697.23</v>
      </c>
      <c r="E135" s="2"/>
      <c r="F135" s="7">
        <f t="shared" si="26"/>
        <v>6.9361498588931703E-2</v>
      </c>
      <c r="G135" s="2"/>
      <c r="H135" s="6">
        <v>6138.22</v>
      </c>
      <c r="I135" s="2"/>
      <c r="J135" s="7">
        <f t="shared" si="27"/>
        <v>1.5628901993135547E-2</v>
      </c>
      <c r="K135" s="2"/>
      <c r="L135" s="6">
        <f t="shared" si="28"/>
        <v>1559.0099999999993</v>
      </c>
      <c r="M135" s="2"/>
      <c r="N135" s="7">
        <f t="shared" si="29"/>
        <v>0.25398405400914259</v>
      </c>
      <c r="O135" s="11"/>
      <c r="P135" s="6">
        <v>90198.09</v>
      </c>
      <c r="Q135" s="2"/>
      <c r="R135" s="7">
        <f t="shared" si="30"/>
        <v>3.6553415829169447E-2</v>
      </c>
      <c r="S135" s="2"/>
      <c r="T135" s="6">
        <v>32482.102000000003</v>
      </c>
      <c r="U135" s="2"/>
      <c r="V135" s="7">
        <f t="shared" si="31"/>
        <v>7.2155847433135216E-3</v>
      </c>
      <c r="W135" s="2"/>
      <c r="X135" s="6">
        <f t="shared" si="32"/>
        <v>57715.987999999998</v>
      </c>
      <c r="Y135" s="2"/>
      <c r="Z135" s="7">
        <f t="shared" si="33"/>
        <v>1.7768550816077111</v>
      </c>
    </row>
    <row r="136" spans="1:26" s="24" customFormat="1" hidden="1" outlineLevel="2" x14ac:dyDescent="0.25">
      <c r="A136" s="28"/>
      <c r="B136" s="11" t="str">
        <f>CONCATENATE("          ", "6006", " - ", "TEMPORARY PART TIME")</f>
        <v xml:space="preserve">          6006 - TEMPORARY PART TIME</v>
      </c>
      <c r="C136" s="11"/>
      <c r="D136" s="6">
        <v>1048.44</v>
      </c>
      <c r="E136" s="2"/>
      <c r="F136" s="7">
        <f t="shared" si="26"/>
        <v>9.4477324414860356E-3</v>
      </c>
      <c r="G136" s="2"/>
      <c r="H136" s="6">
        <v>0</v>
      </c>
      <c r="I136" s="2"/>
      <c r="J136" s="7">
        <f t="shared" si="27"/>
        <v>0</v>
      </c>
      <c r="K136" s="2"/>
      <c r="L136" s="6">
        <f t="shared" si="28"/>
        <v>1048.44</v>
      </c>
      <c r="M136" s="2"/>
      <c r="N136" s="7">
        <f t="shared" si="29"/>
        <v>0</v>
      </c>
      <c r="O136" s="11"/>
      <c r="P136" s="6">
        <v>8555.61</v>
      </c>
      <c r="Q136" s="2"/>
      <c r="R136" s="7">
        <f t="shared" si="30"/>
        <v>3.4672216451834006E-3</v>
      </c>
      <c r="S136" s="2"/>
      <c r="T136" s="6">
        <v>0</v>
      </c>
      <c r="U136" s="2"/>
      <c r="V136" s="7">
        <f t="shared" si="31"/>
        <v>0</v>
      </c>
      <c r="W136" s="2"/>
      <c r="X136" s="6">
        <f t="shared" si="32"/>
        <v>8555.61</v>
      </c>
      <c r="Y136" s="2"/>
      <c r="Z136" s="7">
        <f t="shared" si="33"/>
        <v>0</v>
      </c>
    </row>
    <row r="137" spans="1:26" s="24" customFormat="1" hidden="1" outlineLevel="2" x14ac:dyDescent="0.25">
      <c r="A137" s="28"/>
      <c r="B137" s="11" t="str">
        <f>CONCATENATE("          ", "6007", " - ", "STUDENT HOURLY")</f>
        <v xml:space="preserve">          6007 - STUDENT HOURLY</v>
      </c>
      <c r="C137" s="11"/>
      <c r="D137" s="6">
        <v>18658.63</v>
      </c>
      <c r="E137" s="2"/>
      <c r="F137" s="7">
        <f t="shared" si="26"/>
        <v>0.16813717901328126</v>
      </c>
      <c r="G137" s="2"/>
      <c r="H137" s="6">
        <v>0</v>
      </c>
      <c r="I137" s="2"/>
      <c r="J137" s="7">
        <f t="shared" si="27"/>
        <v>0</v>
      </c>
      <c r="K137" s="2"/>
      <c r="L137" s="6">
        <f t="shared" si="28"/>
        <v>18658.63</v>
      </c>
      <c r="M137" s="2"/>
      <c r="N137" s="7">
        <f t="shared" si="29"/>
        <v>0</v>
      </c>
      <c r="O137" s="11"/>
      <c r="P137" s="6">
        <v>138328.79999999999</v>
      </c>
      <c r="Q137" s="2"/>
      <c r="R137" s="7">
        <f t="shared" si="30"/>
        <v>5.6058727491347257E-2</v>
      </c>
      <c r="S137" s="2"/>
      <c r="T137" s="6">
        <v>137501.6</v>
      </c>
      <c r="U137" s="2"/>
      <c r="V137" s="7">
        <f t="shared" si="31"/>
        <v>3.0544650316694358E-2</v>
      </c>
      <c r="W137" s="2"/>
      <c r="X137" s="6">
        <f t="shared" si="32"/>
        <v>827.19999999998254</v>
      </c>
      <c r="Y137" s="2"/>
      <c r="Z137" s="7">
        <f t="shared" si="33"/>
        <v>6.0159299964508235E-3</v>
      </c>
    </row>
    <row r="138" spans="1:26" s="24" customFormat="1" hidden="1" outlineLevel="2" x14ac:dyDescent="0.25">
      <c r="A138" s="28"/>
      <c r="B138" s="11" t="str">
        <f>CONCATENATE("          ", "6008", " - ", "STUDENT HOURLY-FICA EXEMPT")</f>
        <v xml:space="preserve">          6008 - STUDENT HOURLY-FICA EXEMPT</v>
      </c>
      <c r="C138" s="11"/>
      <c r="D138" s="6">
        <v>882.57</v>
      </c>
      <c r="E138" s="2"/>
      <c r="F138" s="7">
        <f t="shared" si="26"/>
        <v>7.9530399649787604E-3</v>
      </c>
      <c r="G138" s="2"/>
      <c r="H138" s="6">
        <v>54899.4</v>
      </c>
      <c r="I138" s="2"/>
      <c r="J138" s="7">
        <f t="shared" si="27"/>
        <v>0.13978276146536711</v>
      </c>
      <c r="K138" s="2"/>
      <c r="L138" s="6">
        <f t="shared" si="28"/>
        <v>-54016.83</v>
      </c>
      <c r="M138" s="2"/>
      <c r="N138" s="7">
        <f t="shared" si="29"/>
        <v>-0.98392386802041554</v>
      </c>
      <c r="O138" s="11"/>
      <c r="P138" s="6">
        <v>3847.29</v>
      </c>
      <c r="Q138" s="2"/>
      <c r="R138" s="7">
        <f t="shared" si="30"/>
        <v>1.5591415648092473E-3</v>
      </c>
      <c r="S138" s="2"/>
      <c r="T138" s="6">
        <v>261306.18</v>
      </c>
      <c r="U138" s="2"/>
      <c r="V138" s="7">
        <f t="shared" si="31"/>
        <v>5.8046640138668879E-2</v>
      </c>
      <c r="W138" s="2"/>
      <c r="X138" s="6">
        <f t="shared" si="32"/>
        <v>-257458.88999999998</v>
      </c>
      <c r="Y138" s="2"/>
      <c r="Z138" s="7">
        <f t="shared" si="33"/>
        <v>-0.98527669724458866</v>
      </c>
    </row>
    <row r="139" spans="1:26" s="24" customFormat="1" hidden="1" outlineLevel="2" x14ac:dyDescent="0.25">
      <c r="A139" s="28"/>
      <c r="B139" s="11" t="str">
        <f>CONCATENATE("          ", "6009", " - ", "TEMPORARY-SEASONAL")</f>
        <v xml:space="preserve">          6009 - TEMPORARY-SEASONAL</v>
      </c>
      <c r="C139" s="11"/>
      <c r="D139" s="6"/>
      <c r="E139" s="2"/>
      <c r="F139" s="7">
        <f t="shared" si="26"/>
        <v>0</v>
      </c>
      <c r="G139" s="2"/>
      <c r="H139" s="6">
        <v>0</v>
      </c>
      <c r="I139" s="2"/>
      <c r="J139" s="7">
        <f t="shared" si="27"/>
        <v>0</v>
      </c>
      <c r="K139" s="2"/>
      <c r="L139" s="6">
        <f t="shared" si="28"/>
        <v>0</v>
      </c>
      <c r="M139" s="2"/>
      <c r="N139" s="7">
        <f t="shared" si="29"/>
        <v>0</v>
      </c>
      <c r="O139" s="11"/>
      <c r="P139" s="6"/>
      <c r="Q139" s="2"/>
      <c r="R139" s="7">
        <f t="shared" si="30"/>
        <v>0</v>
      </c>
      <c r="S139" s="2"/>
      <c r="T139" s="6">
        <v>0</v>
      </c>
      <c r="U139" s="2"/>
      <c r="V139" s="7">
        <f t="shared" si="31"/>
        <v>0</v>
      </c>
      <c r="W139" s="2"/>
      <c r="X139" s="6">
        <f t="shared" si="32"/>
        <v>0</v>
      </c>
      <c r="Y139" s="2"/>
      <c r="Z139" s="7">
        <f t="shared" si="33"/>
        <v>0</v>
      </c>
    </row>
    <row r="140" spans="1:26" s="24" customFormat="1" hidden="1" outlineLevel="2" x14ac:dyDescent="0.25">
      <c r="A140" s="28"/>
      <c r="B140" s="11" t="str">
        <f>CONCATENATE("          ", "6010", " - ", "GRATUITY")</f>
        <v xml:space="preserve">          6010 - GRATUITY</v>
      </c>
      <c r="C140" s="11"/>
      <c r="D140" s="6"/>
      <c r="E140" s="2"/>
      <c r="F140" s="7">
        <f t="shared" si="26"/>
        <v>0</v>
      </c>
      <c r="G140" s="2"/>
      <c r="H140" s="6">
        <v>0</v>
      </c>
      <c r="I140" s="2"/>
      <c r="J140" s="7">
        <f t="shared" si="27"/>
        <v>0</v>
      </c>
      <c r="K140" s="2"/>
      <c r="L140" s="6">
        <f t="shared" si="28"/>
        <v>0</v>
      </c>
      <c r="M140" s="2"/>
      <c r="N140" s="7">
        <f t="shared" si="29"/>
        <v>0</v>
      </c>
      <c r="O140" s="11"/>
      <c r="P140" s="6"/>
      <c r="Q140" s="2"/>
      <c r="R140" s="7">
        <f t="shared" si="30"/>
        <v>0</v>
      </c>
      <c r="S140" s="2"/>
      <c r="T140" s="6">
        <v>0</v>
      </c>
      <c r="U140" s="2"/>
      <c r="V140" s="7">
        <f t="shared" si="31"/>
        <v>0</v>
      </c>
      <c r="W140" s="2"/>
      <c r="X140" s="6">
        <f t="shared" si="32"/>
        <v>0</v>
      </c>
      <c r="Y140" s="2"/>
      <c r="Z140" s="7">
        <f t="shared" si="33"/>
        <v>0</v>
      </c>
    </row>
    <row r="141" spans="1:26" s="29" customFormat="1" outlineLevel="1" collapsed="1" x14ac:dyDescent="0.25">
      <c r="A141" s="27"/>
      <c r="B141" s="14" t="str">
        <f>CONCATENATE("     ","Advertising/Promo                                 ")</f>
        <v xml:space="preserve">     Advertising/Promo                                 </v>
      </c>
      <c r="C141" s="14"/>
      <c r="D141" s="1">
        <f>SUM(OSRRefD22_2x_0)</f>
        <v>648.78</v>
      </c>
      <c r="E141" s="1"/>
      <c r="F141" s="5">
        <f t="shared" ref="F141:F145" si="34">IF(D$12=0,0,D141/D$12)</f>
        <v>5.846304846617174E-3</v>
      </c>
      <c r="G141" s="1"/>
      <c r="H141" s="1">
        <f>SUM(OSRRefH22_2x_0)</f>
        <v>1419</v>
      </c>
      <c r="I141" s="1"/>
      <c r="J141" s="5">
        <f t="shared" ref="J141:J145" si="35">IF(H$12=0,0,H141/H$12)</f>
        <v>3.6130037581349871E-3</v>
      </c>
      <c r="K141" s="1"/>
      <c r="L141" s="1">
        <f t="shared" ref="L141:L145" si="36">+D141-H141</f>
        <v>-770.22</v>
      </c>
      <c r="M141" s="1"/>
      <c r="N141" s="5">
        <f t="shared" ref="N141:N145" si="37">IF(H141=0,0,L141/H141)</f>
        <v>-0.54279069767441868</v>
      </c>
      <c r="O141" s="14"/>
      <c r="P141" s="1">
        <f>SUM(OSRRefP22_2x_0)</f>
        <v>14358.53</v>
      </c>
      <c r="Q141" s="1"/>
      <c r="R141" s="5">
        <f t="shared" ref="R141:R145" si="38">IF(P$12=0,0,P141/P$12)</f>
        <v>5.8188961405458185E-3</v>
      </c>
      <c r="S141" s="1"/>
      <c r="T141" s="1">
        <f>SUM(OSRRefT22_2x_0)</f>
        <v>7191</v>
      </c>
      <c r="U141" s="1"/>
      <c r="V141" s="5">
        <f t="shared" ref="V141:V145" si="39">IF(T$12=0,0,T141/T$12)</f>
        <v>1.5974110877789722E-3</v>
      </c>
      <c r="W141" s="1"/>
      <c r="X141" s="1">
        <f t="shared" ref="X141:X145" si="40">+P141-T141</f>
        <v>7167.5300000000007</v>
      </c>
      <c r="Y141" s="1"/>
      <c r="Z141" s="5">
        <f t="shared" ref="Z141:Z145" si="41">IF(T141=0,0,X141/T141)</f>
        <v>0.99673619802530955</v>
      </c>
    </row>
    <row r="142" spans="1:26" s="24" customFormat="1" hidden="1" outlineLevel="2" x14ac:dyDescent="0.25">
      <c r="A142" s="28"/>
      <c r="B142" s="11" t="str">
        <f>CONCATENATE("          ", "6362", " - ", "ADVERTISING EXPENSE")</f>
        <v xml:space="preserve">          6362 - ADVERTISING EXPENSE</v>
      </c>
      <c r="C142" s="11"/>
      <c r="D142" s="6">
        <v>648.78</v>
      </c>
      <c r="E142" s="2"/>
      <c r="F142" s="7">
        <f t="shared" si="34"/>
        <v>5.846304846617174E-3</v>
      </c>
      <c r="G142" s="2"/>
      <c r="H142" s="6">
        <v>1419</v>
      </c>
      <c r="I142" s="2"/>
      <c r="J142" s="7">
        <f t="shared" si="35"/>
        <v>3.6130037581349871E-3</v>
      </c>
      <c r="K142" s="2"/>
      <c r="L142" s="6">
        <f t="shared" si="36"/>
        <v>-770.22</v>
      </c>
      <c r="M142" s="2"/>
      <c r="N142" s="7">
        <f t="shared" si="37"/>
        <v>-0.54279069767441868</v>
      </c>
      <c r="O142" s="11"/>
      <c r="P142" s="6">
        <v>14358.53</v>
      </c>
      <c r="Q142" s="2"/>
      <c r="R142" s="7">
        <f t="shared" si="38"/>
        <v>5.8188961405458185E-3</v>
      </c>
      <c r="S142" s="2"/>
      <c r="T142" s="6">
        <v>7191</v>
      </c>
      <c r="U142" s="2"/>
      <c r="V142" s="7">
        <f t="shared" si="39"/>
        <v>1.5974110877789722E-3</v>
      </c>
      <c r="W142" s="2"/>
      <c r="X142" s="6">
        <f t="shared" si="40"/>
        <v>7167.5300000000007</v>
      </c>
      <c r="Y142" s="2"/>
      <c r="Z142" s="7">
        <f t="shared" si="41"/>
        <v>0.99673619802530955</v>
      </c>
    </row>
    <row r="143" spans="1:26" s="29" customFormat="1" outlineLevel="1" collapsed="1" x14ac:dyDescent="0.25">
      <c r="A143" s="27"/>
      <c r="B143" s="14" t="str">
        <f>CONCATENATE("     ","Bad Debts/Over/Short                              ")</f>
        <v xml:space="preserve">     Bad Debts/Over/Short                              </v>
      </c>
      <c r="C143" s="14"/>
      <c r="D143" s="1">
        <f>SUM(OSRRefD22_3x_0)</f>
        <v>0.74</v>
      </c>
      <c r="E143" s="1"/>
      <c r="F143" s="5">
        <f t="shared" si="34"/>
        <v>6.6683091132536589E-6</v>
      </c>
      <c r="G143" s="1"/>
      <c r="H143" s="1">
        <f>SUM(OSRRefH22_3x_0)</f>
        <v>118</v>
      </c>
      <c r="I143" s="1"/>
      <c r="J143" s="5">
        <f t="shared" si="35"/>
        <v>3.0044710603236682E-4</v>
      </c>
      <c r="K143" s="1"/>
      <c r="L143" s="1">
        <f t="shared" si="36"/>
        <v>-117.26</v>
      </c>
      <c r="M143" s="1"/>
      <c r="N143" s="5">
        <f t="shared" si="37"/>
        <v>-0.99372881355932208</v>
      </c>
      <c r="O143" s="14"/>
      <c r="P143" s="1">
        <f>SUM(OSRRefP22_3x_0)</f>
        <v>54.61</v>
      </c>
      <c r="Q143" s="1"/>
      <c r="R143" s="5">
        <f t="shared" si="38"/>
        <v>2.2131089898144666E-5</v>
      </c>
      <c r="S143" s="1"/>
      <c r="T143" s="1">
        <f>SUM(OSRRefT22_3x_0)</f>
        <v>596</v>
      </c>
      <c r="U143" s="1"/>
      <c r="V143" s="5">
        <f t="shared" si="39"/>
        <v>1.3239563458715997E-4</v>
      </c>
      <c r="W143" s="1"/>
      <c r="X143" s="1">
        <f t="shared" si="40"/>
        <v>-541.39</v>
      </c>
      <c r="Y143" s="1"/>
      <c r="Z143" s="5">
        <f t="shared" si="41"/>
        <v>-0.90837248322147646</v>
      </c>
    </row>
    <row r="144" spans="1:26" s="24" customFormat="1" hidden="1" outlineLevel="2" x14ac:dyDescent="0.25">
      <c r="A144" s="28"/>
      <c r="B144" s="11" t="str">
        <f>CONCATENATE("          ", "6272", " - ", "CASH (OVER/SHORT)")</f>
        <v xml:space="preserve">          6272 - CASH (OVER/SHORT)</v>
      </c>
      <c r="C144" s="11"/>
      <c r="D144" s="6">
        <v>0.74</v>
      </c>
      <c r="E144" s="2"/>
      <c r="F144" s="7">
        <f t="shared" si="34"/>
        <v>6.6683091132536589E-6</v>
      </c>
      <c r="G144" s="2"/>
      <c r="H144" s="6">
        <v>68</v>
      </c>
      <c r="I144" s="2"/>
      <c r="J144" s="7">
        <f t="shared" si="35"/>
        <v>1.7313901025594019E-4</v>
      </c>
      <c r="K144" s="2"/>
      <c r="L144" s="6">
        <f t="shared" si="36"/>
        <v>-67.260000000000005</v>
      </c>
      <c r="M144" s="2"/>
      <c r="N144" s="7">
        <f t="shared" si="37"/>
        <v>-0.98911764705882366</v>
      </c>
      <c r="O144" s="11"/>
      <c r="P144" s="6">
        <v>54.61</v>
      </c>
      <c r="Q144" s="2"/>
      <c r="R144" s="7">
        <f t="shared" si="38"/>
        <v>2.2131089898144666E-5</v>
      </c>
      <c r="S144" s="2"/>
      <c r="T144" s="6">
        <v>346</v>
      </c>
      <c r="U144" s="2"/>
      <c r="V144" s="7">
        <f t="shared" si="39"/>
        <v>7.6860552965029119E-5</v>
      </c>
      <c r="W144" s="2"/>
      <c r="X144" s="6">
        <f t="shared" si="40"/>
        <v>-291.39</v>
      </c>
      <c r="Y144" s="2"/>
      <c r="Z144" s="7">
        <f t="shared" si="41"/>
        <v>-0.84216763005780337</v>
      </c>
    </row>
    <row r="145" spans="1:26" s="24" customFormat="1" hidden="1" outlineLevel="2" x14ac:dyDescent="0.25">
      <c r="A145" s="28"/>
      <c r="B145" s="11" t="str">
        <f>CONCATENATE("          ", "6342", " - ", "BAD DEBT")</f>
        <v xml:space="preserve">          6342 - BAD DEBT</v>
      </c>
      <c r="C145" s="11"/>
      <c r="D145" s="6"/>
      <c r="E145" s="2"/>
      <c r="F145" s="7">
        <f t="shared" si="34"/>
        <v>0</v>
      </c>
      <c r="G145" s="2"/>
      <c r="H145" s="6">
        <v>50</v>
      </c>
      <c r="I145" s="2"/>
      <c r="J145" s="7">
        <f t="shared" si="35"/>
        <v>1.2730809577642661E-4</v>
      </c>
      <c r="K145" s="2"/>
      <c r="L145" s="6">
        <f t="shared" si="36"/>
        <v>-50</v>
      </c>
      <c r="M145" s="2"/>
      <c r="N145" s="7">
        <f t="shared" si="37"/>
        <v>-1</v>
      </c>
      <c r="O145" s="11"/>
      <c r="P145" s="6"/>
      <c r="Q145" s="2"/>
      <c r="R145" s="7">
        <f t="shared" si="38"/>
        <v>0</v>
      </c>
      <c r="S145" s="2"/>
      <c r="T145" s="6">
        <v>250</v>
      </c>
      <c r="U145" s="2"/>
      <c r="V145" s="7">
        <f t="shared" si="39"/>
        <v>5.5535081622130864E-5</v>
      </c>
      <c r="W145" s="2"/>
      <c r="X145" s="6">
        <f t="shared" si="40"/>
        <v>-250</v>
      </c>
      <c r="Y145" s="2"/>
      <c r="Z145" s="7">
        <f t="shared" si="41"/>
        <v>-1</v>
      </c>
    </row>
    <row r="146" spans="1:26" s="29" customFormat="1" outlineLevel="1" collapsed="1" x14ac:dyDescent="0.25">
      <c r="A146" s="27"/>
      <c r="B146" s="14" t="str">
        <f>CONCATENATE("     ","Bank/card Fees                                    ")</f>
        <v xml:space="preserve">     Bank/card Fees                                    </v>
      </c>
      <c r="C146" s="14"/>
      <c r="D146" s="1">
        <f>SUM(OSRRefD22_4x_0)</f>
        <v>2647.72</v>
      </c>
      <c r="E146" s="1"/>
      <c r="F146" s="5">
        <f t="shared" ref="F146:F150" si="42">IF(D$12=0,0,D146/D$12)</f>
        <v>2.385921000722159E-2</v>
      </c>
      <c r="G146" s="1"/>
      <c r="H146" s="1">
        <f>SUM(OSRRefH22_4x_0)</f>
        <v>13422</v>
      </c>
      <c r="I146" s="1"/>
      <c r="J146" s="5">
        <f t="shared" ref="J146:J150" si="43">IF(H$12=0,0,H146/H$12)</f>
        <v>3.4174585230223958E-2</v>
      </c>
      <c r="K146" s="1"/>
      <c r="L146" s="1">
        <f t="shared" ref="L146:L150" si="44">+D146-H146</f>
        <v>-10774.28</v>
      </c>
      <c r="M146" s="1"/>
      <c r="N146" s="5">
        <f t="shared" ref="N146:N150" si="45">IF(H146=0,0,L146/H146)</f>
        <v>-0.80273282670242885</v>
      </c>
      <c r="O146" s="14"/>
      <c r="P146" s="1">
        <f>SUM(OSRRefP22_4x_0)</f>
        <v>42221.71</v>
      </c>
      <c r="Q146" s="1"/>
      <c r="R146" s="5">
        <f t="shared" ref="R146:R150" si="46">IF(P$12=0,0,P146/P$12)</f>
        <v>1.711064749429397E-2</v>
      </c>
      <c r="S146" s="1"/>
      <c r="T146" s="1">
        <f>SUM(OSRRefT22_4x_0)</f>
        <v>107442</v>
      </c>
      <c r="U146" s="1"/>
      <c r="V146" s="5">
        <f t="shared" ref="V146:V150" si="47">IF(T$12=0,0,T146/T$12)</f>
        <v>2.3867200958579936E-2</v>
      </c>
      <c r="W146" s="1"/>
      <c r="X146" s="1">
        <f t="shared" ref="X146:X150" si="48">+P146-T146</f>
        <v>-65220.29</v>
      </c>
      <c r="Y146" s="1"/>
      <c r="Z146" s="5">
        <f t="shared" ref="Z146:Z150" si="49">IF(T146=0,0,X146/T146)</f>
        <v>-0.60702788481227077</v>
      </c>
    </row>
    <row r="147" spans="1:26" s="24" customFormat="1" hidden="1" outlineLevel="2" x14ac:dyDescent="0.25">
      <c r="A147" s="28"/>
      <c r="B147" s="11" t="str">
        <f>CONCATENATE("          ", "6381", " - ", "BANK/CREDIT CARD FEES")</f>
        <v xml:space="preserve">          6381 - BANK/CREDIT CARD FEES</v>
      </c>
      <c r="C147" s="11"/>
      <c r="D147" s="6">
        <v>2647.72</v>
      </c>
      <c r="E147" s="2"/>
      <c r="F147" s="7">
        <f t="shared" si="42"/>
        <v>2.385921000722159E-2</v>
      </c>
      <c r="G147" s="2"/>
      <c r="H147" s="6">
        <v>13422</v>
      </c>
      <c r="I147" s="2"/>
      <c r="J147" s="7">
        <f t="shared" si="43"/>
        <v>3.4174585230223958E-2</v>
      </c>
      <c r="K147" s="2"/>
      <c r="L147" s="6">
        <f t="shared" si="44"/>
        <v>-10774.28</v>
      </c>
      <c r="M147" s="2"/>
      <c r="N147" s="7">
        <f t="shared" si="45"/>
        <v>-0.80273282670242885</v>
      </c>
      <c r="O147" s="11"/>
      <c r="P147" s="6">
        <v>42221.71</v>
      </c>
      <c r="Q147" s="2"/>
      <c r="R147" s="7">
        <f t="shared" si="46"/>
        <v>1.711064749429397E-2</v>
      </c>
      <c r="S147" s="2"/>
      <c r="T147" s="6">
        <v>107442</v>
      </c>
      <c r="U147" s="2"/>
      <c r="V147" s="7">
        <f t="shared" si="47"/>
        <v>2.3867200958579936E-2</v>
      </c>
      <c r="W147" s="2"/>
      <c r="X147" s="6">
        <f t="shared" si="48"/>
        <v>-65220.29</v>
      </c>
      <c r="Y147" s="2"/>
      <c r="Z147" s="7">
        <f t="shared" si="49"/>
        <v>-0.60702788481227077</v>
      </c>
    </row>
    <row r="148" spans="1:26" s="29" customFormat="1" outlineLevel="1" collapsed="1" x14ac:dyDescent="0.25">
      <c r="A148" s="27"/>
      <c r="B148" s="14" t="str">
        <f>CONCATENATE("     ","Depreciation                                      ")</f>
        <v xml:space="preserve">     Depreciation                                      </v>
      </c>
      <c r="C148" s="14"/>
      <c r="D148" s="1">
        <f>SUM(OSRRefD22_5x_0)</f>
        <v>39887.94</v>
      </c>
      <c r="E148" s="1"/>
      <c r="F148" s="5">
        <f t="shared" si="42"/>
        <v>0.35943934298772318</v>
      </c>
      <c r="G148" s="1"/>
      <c r="H148" s="1">
        <f>SUM(OSRRefH22_5x_0)</f>
        <v>38857</v>
      </c>
      <c r="I148" s="1"/>
      <c r="J148" s="5">
        <f t="shared" si="43"/>
        <v>9.8936213551692173E-2</v>
      </c>
      <c r="K148" s="1"/>
      <c r="L148" s="1">
        <f t="shared" si="44"/>
        <v>1030.9400000000023</v>
      </c>
      <c r="M148" s="1"/>
      <c r="N148" s="5">
        <f t="shared" si="45"/>
        <v>2.6531641660447341E-2</v>
      </c>
      <c r="O148" s="14"/>
      <c r="P148" s="1">
        <f>SUM(OSRRefP22_5x_0)</f>
        <v>199916.47</v>
      </c>
      <c r="Q148" s="1"/>
      <c r="R148" s="5">
        <f t="shared" si="46"/>
        <v>8.1017567655919082E-2</v>
      </c>
      <c r="S148" s="1"/>
      <c r="T148" s="1">
        <f>SUM(OSRRefT22_5x_0)</f>
        <v>195741</v>
      </c>
      <c r="U148" s="1"/>
      <c r="V148" s="5">
        <f t="shared" si="47"/>
        <v>4.3481969647190068E-2</v>
      </c>
      <c r="W148" s="1"/>
      <c r="X148" s="1">
        <f t="shared" si="48"/>
        <v>4175.4700000000012</v>
      </c>
      <c r="Y148" s="1"/>
      <c r="Z148" s="5">
        <f t="shared" si="49"/>
        <v>2.1331606561732091E-2</v>
      </c>
    </row>
    <row r="149" spans="1:26" s="24" customFormat="1" hidden="1" outlineLevel="2" x14ac:dyDescent="0.25">
      <c r="A149" s="28"/>
      <c r="B149" s="11" t="str">
        <f>CONCATENATE("          ", "6321", " - ", "BUILDING DEPRECIATION")</f>
        <v xml:space="preserve">          6321 - BUILDING DEPRECIATION</v>
      </c>
      <c r="C149" s="11"/>
      <c r="D149" s="6">
        <v>21477.030000000002</v>
      </c>
      <c r="E149" s="2"/>
      <c r="F149" s="7">
        <f t="shared" si="42"/>
        <v>0.19353442550624628</v>
      </c>
      <c r="G149" s="2"/>
      <c r="H149" s="6"/>
      <c r="I149" s="2"/>
      <c r="J149" s="7">
        <f t="shared" si="43"/>
        <v>0</v>
      </c>
      <c r="K149" s="2"/>
      <c r="L149" s="6">
        <f t="shared" si="44"/>
        <v>21477.030000000002</v>
      </c>
      <c r="M149" s="2"/>
      <c r="N149" s="7">
        <f t="shared" si="45"/>
        <v>0</v>
      </c>
      <c r="O149" s="11"/>
      <c r="P149" s="6">
        <v>107385.15</v>
      </c>
      <c r="Q149" s="2"/>
      <c r="R149" s="7">
        <f t="shared" si="46"/>
        <v>4.351859381753799E-2</v>
      </c>
      <c r="S149" s="2"/>
      <c r="T149" s="6"/>
      <c r="U149" s="2"/>
      <c r="V149" s="7">
        <f t="shared" si="47"/>
        <v>0</v>
      </c>
      <c r="W149" s="2"/>
      <c r="X149" s="6">
        <f t="shared" si="48"/>
        <v>107385.15</v>
      </c>
      <c r="Y149" s="2"/>
      <c r="Z149" s="7">
        <f t="shared" si="49"/>
        <v>0</v>
      </c>
    </row>
    <row r="150" spans="1:26" s="24" customFormat="1" hidden="1" outlineLevel="2" x14ac:dyDescent="0.25">
      <c r="A150" s="28"/>
      <c r="B150" s="11" t="str">
        <f>CONCATENATE("          ", "6322", " - ", "EQUIPMENT DEPRECIATION EXPENSE")</f>
        <v xml:space="preserve">          6322 - EQUIPMENT DEPRECIATION EXPENSE</v>
      </c>
      <c r="C150" s="11"/>
      <c r="D150" s="6">
        <v>18410.91</v>
      </c>
      <c r="E150" s="2"/>
      <c r="F150" s="7">
        <f t="shared" si="42"/>
        <v>0.16590491748147693</v>
      </c>
      <c r="G150" s="2"/>
      <c r="H150" s="6">
        <v>38857</v>
      </c>
      <c r="I150" s="2"/>
      <c r="J150" s="7">
        <f t="shared" si="43"/>
        <v>9.8936213551692173E-2</v>
      </c>
      <c r="K150" s="2"/>
      <c r="L150" s="6">
        <f t="shared" si="44"/>
        <v>-20446.09</v>
      </c>
      <c r="M150" s="2"/>
      <c r="N150" s="7">
        <f t="shared" si="45"/>
        <v>-0.52618807422086111</v>
      </c>
      <c r="O150" s="11"/>
      <c r="P150" s="6">
        <v>92531.32</v>
      </c>
      <c r="Q150" s="2"/>
      <c r="R150" s="7">
        <f t="shared" si="46"/>
        <v>3.7498973838381099E-2</v>
      </c>
      <c r="S150" s="2"/>
      <c r="T150" s="6">
        <v>195741</v>
      </c>
      <c r="U150" s="2"/>
      <c r="V150" s="7">
        <f t="shared" si="47"/>
        <v>4.3481969647190068E-2</v>
      </c>
      <c r="W150" s="2"/>
      <c r="X150" s="6">
        <f t="shared" si="48"/>
        <v>-103209.68</v>
      </c>
      <c r="Y150" s="2"/>
      <c r="Z150" s="7">
        <f t="shared" si="49"/>
        <v>-0.52727675857382972</v>
      </c>
    </row>
    <row r="151" spans="1:26" s="29" customFormat="1" outlineLevel="1" collapsed="1" x14ac:dyDescent="0.25">
      <c r="A151" s="27"/>
      <c r="B151" s="14" t="str">
        <f>CONCATENATE("     ","Discounts and Markdowns                           ")</f>
        <v xml:space="preserve">     Discounts and Markdowns                           </v>
      </c>
      <c r="C151" s="14"/>
      <c r="D151" s="1">
        <f>SUM(OSRRefD22_6x_0)</f>
        <v>418.85</v>
      </c>
      <c r="E151" s="1"/>
      <c r="F151" s="5">
        <f t="shared" ref="F151:F153" si="50">IF(D$12=0,0,D151/D$12)</f>
        <v>3.7743530703868854E-3</v>
      </c>
      <c r="G151" s="1"/>
      <c r="H151" s="1">
        <f>SUM(OSRRefH22_6x_0)</f>
        <v>26548</v>
      </c>
      <c r="I151" s="1"/>
      <c r="J151" s="5">
        <f t="shared" ref="J151:J153" si="51">IF(H$12=0,0,H151/H$12)</f>
        <v>6.7595506533451477E-2</v>
      </c>
      <c r="K151" s="1"/>
      <c r="L151" s="1">
        <f t="shared" ref="L151:L153" si="52">+D151-H151</f>
        <v>-26129.15</v>
      </c>
      <c r="M151" s="1"/>
      <c r="N151" s="5">
        <f t="shared" ref="N151:N153" si="53">IF(H151=0,0,L151/H151)</f>
        <v>-0.98422291698056352</v>
      </c>
      <c r="O151" s="14"/>
      <c r="P151" s="1">
        <f>SUM(OSRRefP22_6x_0)</f>
        <v>0</v>
      </c>
      <c r="Q151" s="1"/>
      <c r="R151" s="5">
        <f t="shared" ref="R151:R153" si="54">IF(P$12=0,0,P151/P$12)</f>
        <v>0</v>
      </c>
      <c r="S151" s="1"/>
      <c r="T151" s="1">
        <f>SUM(OSRRefT22_6x_0)</f>
        <v>135126</v>
      </c>
      <c r="U151" s="1"/>
      <c r="V151" s="5">
        <f t="shared" ref="V151:V153" si="55">IF(T$12=0,0,T151/T$12)</f>
        <v>3.0016933757088221E-2</v>
      </c>
      <c r="W151" s="1"/>
      <c r="X151" s="1">
        <f t="shared" ref="X151:X153" si="56">+P151-T151</f>
        <v>-135126</v>
      </c>
      <c r="Y151" s="1"/>
      <c r="Z151" s="5">
        <f t="shared" ref="Z151:Z153" si="57">IF(T151=0,0,X151/T151)</f>
        <v>-1</v>
      </c>
    </row>
    <row r="152" spans="1:26" s="24" customFormat="1" hidden="1" outlineLevel="2" x14ac:dyDescent="0.25">
      <c r="A152" s="28"/>
      <c r="B152" s="11" t="str">
        <f>CONCATENATE("          ", "6382", " - ", "DISCOUNTS/MARK DOWNS")</f>
        <v xml:space="preserve">          6382 - DISCOUNTS/MARK DOWNS</v>
      </c>
      <c r="C152" s="11"/>
      <c r="D152" s="6"/>
      <c r="E152" s="2"/>
      <c r="F152" s="7">
        <f t="shared" si="50"/>
        <v>0</v>
      </c>
      <c r="G152" s="2"/>
      <c r="H152" s="6">
        <v>26548</v>
      </c>
      <c r="I152" s="2"/>
      <c r="J152" s="7">
        <f t="shared" si="51"/>
        <v>6.7595506533451477E-2</v>
      </c>
      <c r="K152" s="2"/>
      <c r="L152" s="6">
        <f t="shared" si="52"/>
        <v>-26548</v>
      </c>
      <c r="M152" s="2"/>
      <c r="N152" s="7">
        <f t="shared" si="53"/>
        <v>-1</v>
      </c>
      <c r="O152" s="11"/>
      <c r="P152" s="6">
        <v>0</v>
      </c>
      <c r="Q152" s="2"/>
      <c r="R152" s="7">
        <f t="shared" si="54"/>
        <v>0</v>
      </c>
      <c r="S152" s="2"/>
      <c r="T152" s="6">
        <v>135126</v>
      </c>
      <c r="U152" s="2"/>
      <c r="V152" s="7">
        <f t="shared" si="55"/>
        <v>3.0016933757088221E-2</v>
      </c>
      <c r="W152" s="2"/>
      <c r="X152" s="6">
        <f t="shared" si="56"/>
        <v>-135126</v>
      </c>
      <c r="Y152" s="2"/>
      <c r="Z152" s="7">
        <f t="shared" si="57"/>
        <v>-1</v>
      </c>
    </row>
    <row r="153" spans="1:26" s="24" customFormat="1" hidden="1" outlineLevel="2" x14ac:dyDescent="0.25">
      <c r="A153" s="28"/>
      <c r="B153" s="11" t="str">
        <f>CONCATENATE("          ", "9175", " - ", "EARNED DISCOUNTS")</f>
        <v xml:space="preserve">          9175 - EARNED DISCOUNTS</v>
      </c>
      <c r="C153" s="11"/>
      <c r="D153" s="6">
        <v>418.85</v>
      </c>
      <c r="E153" s="2"/>
      <c r="F153" s="7">
        <f t="shared" si="50"/>
        <v>3.7743530703868854E-3</v>
      </c>
      <c r="G153" s="2"/>
      <c r="H153" s="6"/>
      <c r="I153" s="2"/>
      <c r="J153" s="7">
        <f t="shared" si="51"/>
        <v>0</v>
      </c>
      <c r="K153" s="2"/>
      <c r="L153" s="6">
        <f t="shared" si="52"/>
        <v>418.85</v>
      </c>
      <c r="M153" s="2"/>
      <c r="N153" s="7">
        <f t="shared" si="53"/>
        <v>0</v>
      </c>
      <c r="O153" s="11"/>
      <c r="P153" s="6">
        <v>0</v>
      </c>
      <c r="Q153" s="2"/>
      <c r="R153" s="7">
        <f t="shared" si="54"/>
        <v>0</v>
      </c>
      <c r="S153" s="2"/>
      <c r="T153" s="6"/>
      <c r="U153" s="2"/>
      <c r="V153" s="7">
        <f t="shared" si="55"/>
        <v>0</v>
      </c>
      <c r="W153" s="2"/>
      <c r="X153" s="6">
        <f t="shared" si="56"/>
        <v>0</v>
      </c>
      <c r="Y153" s="2"/>
      <c r="Z153" s="7">
        <f t="shared" si="57"/>
        <v>0</v>
      </c>
    </row>
    <row r="154" spans="1:26" s="29" customFormat="1" outlineLevel="1" collapsed="1" x14ac:dyDescent="0.25">
      <c r="A154" s="27"/>
      <c r="B154" s="14" t="str">
        <f>CONCATENATE("     ","Donations                                         ")</f>
        <v xml:space="preserve">     Donations                                         </v>
      </c>
      <c r="C154" s="14"/>
      <c r="D154" s="1">
        <f>SUM(OSRRefD22_7x_0)</f>
        <v>0</v>
      </c>
      <c r="E154" s="1"/>
      <c r="F154" s="5">
        <f t="shared" ref="F154:F156" si="58">IF(D$12=0,0,D154/D$12)</f>
        <v>0</v>
      </c>
      <c r="G154" s="1"/>
      <c r="H154" s="1">
        <f>SUM(OSRRefH22_7x_0)</f>
        <v>1000</v>
      </c>
      <c r="I154" s="1"/>
      <c r="J154" s="5">
        <f t="shared" ref="J154:J156" si="59">IF(H$12=0,0,H154/H$12)</f>
        <v>2.5461619155285322E-3</v>
      </c>
      <c r="K154" s="1"/>
      <c r="L154" s="1">
        <f t="shared" ref="L154:L156" si="60">+D154-H154</f>
        <v>-1000</v>
      </c>
      <c r="M154" s="1"/>
      <c r="N154" s="5">
        <f t="shared" ref="N154:N156" si="61">IF(H154=0,0,L154/H154)</f>
        <v>-1</v>
      </c>
      <c r="O154" s="14"/>
      <c r="P154" s="1">
        <f>SUM(OSRRefP22_7x_0)</f>
        <v>0</v>
      </c>
      <c r="Q154" s="1"/>
      <c r="R154" s="5">
        <f t="shared" ref="R154:R156" si="62">IF(P$12=0,0,P154/P$12)</f>
        <v>0</v>
      </c>
      <c r="S154" s="1"/>
      <c r="T154" s="1">
        <f>SUM(OSRRefT22_7x_0)</f>
        <v>5000</v>
      </c>
      <c r="U154" s="1"/>
      <c r="V154" s="5">
        <f t="shared" ref="V154:V156" si="63">IF(T$12=0,0,T154/T$12)</f>
        <v>1.1107016324426173E-3</v>
      </c>
      <c r="W154" s="1"/>
      <c r="X154" s="1">
        <f t="shared" ref="X154:X156" si="64">+P154-T154</f>
        <v>-5000</v>
      </c>
      <c r="Y154" s="1"/>
      <c r="Z154" s="5">
        <f t="shared" ref="Z154:Z156" si="65">IF(T154=0,0,X154/T154)</f>
        <v>-1</v>
      </c>
    </row>
    <row r="155" spans="1:26" s="24" customFormat="1" hidden="1" outlineLevel="2" x14ac:dyDescent="0.25">
      <c r="A155" s="28"/>
      <c r="B155" s="11" t="str">
        <f>CONCATENATE("          ", "6395", " - ", "DONATION-OFF CAMPUS")</f>
        <v xml:space="preserve">          6395 - DONATION-OFF CAMPUS</v>
      </c>
      <c r="C155" s="11"/>
      <c r="D155" s="6"/>
      <c r="E155" s="2"/>
      <c r="F155" s="7">
        <f t="shared" si="58"/>
        <v>0</v>
      </c>
      <c r="G155" s="2"/>
      <c r="H155" s="6"/>
      <c r="I155" s="2"/>
      <c r="J155" s="7">
        <f t="shared" si="59"/>
        <v>0</v>
      </c>
      <c r="K155" s="2"/>
      <c r="L155" s="6">
        <f t="shared" si="60"/>
        <v>0</v>
      </c>
      <c r="M155" s="2"/>
      <c r="N155" s="7">
        <f t="shared" si="61"/>
        <v>0</v>
      </c>
      <c r="O155" s="11"/>
      <c r="P155" s="6"/>
      <c r="Q155" s="2"/>
      <c r="R155" s="7">
        <f t="shared" si="62"/>
        <v>0</v>
      </c>
      <c r="S155" s="2"/>
      <c r="T155" s="6">
        <v>0</v>
      </c>
      <c r="U155" s="2"/>
      <c r="V155" s="7">
        <f t="shared" si="63"/>
        <v>0</v>
      </c>
      <c r="W155" s="2"/>
      <c r="X155" s="6">
        <f t="shared" si="64"/>
        <v>0</v>
      </c>
      <c r="Y155" s="2"/>
      <c r="Z155" s="7">
        <f t="shared" si="65"/>
        <v>0</v>
      </c>
    </row>
    <row r="156" spans="1:26" s="24" customFormat="1" hidden="1" outlineLevel="2" x14ac:dyDescent="0.25">
      <c r="A156" s="28"/>
      <c r="B156" s="11" t="str">
        <f>CONCATENATE("          ", "6399", " - ", "DONATION-ON CAMPUS")</f>
        <v xml:space="preserve">          6399 - DONATION-ON CAMPUS</v>
      </c>
      <c r="C156" s="11"/>
      <c r="D156" s="6"/>
      <c r="E156" s="2"/>
      <c r="F156" s="7">
        <f t="shared" si="58"/>
        <v>0</v>
      </c>
      <c r="G156" s="2"/>
      <c r="H156" s="6">
        <v>1000</v>
      </c>
      <c r="I156" s="2"/>
      <c r="J156" s="7">
        <f t="shared" si="59"/>
        <v>2.5461619155285322E-3</v>
      </c>
      <c r="K156" s="2"/>
      <c r="L156" s="6">
        <f t="shared" si="60"/>
        <v>-1000</v>
      </c>
      <c r="M156" s="2"/>
      <c r="N156" s="7">
        <f t="shared" si="61"/>
        <v>-1</v>
      </c>
      <c r="O156" s="11"/>
      <c r="P156" s="6"/>
      <c r="Q156" s="2"/>
      <c r="R156" s="7">
        <f t="shared" si="62"/>
        <v>0</v>
      </c>
      <c r="S156" s="2"/>
      <c r="T156" s="6">
        <v>5000</v>
      </c>
      <c r="U156" s="2"/>
      <c r="V156" s="7">
        <f t="shared" si="63"/>
        <v>1.1107016324426173E-3</v>
      </c>
      <c r="W156" s="2"/>
      <c r="X156" s="6">
        <f t="shared" si="64"/>
        <v>-5000</v>
      </c>
      <c r="Y156" s="2"/>
      <c r="Z156" s="7">
        <f t="shared" si="65"/>
        <v>-1</v>
      </c>
    </row>
    <row r="157" spans="1:26" s="29" customFormat="1" outlineLevel="1" collapsed="1" x14ac:dyDescent="0.25">
      <c r="A157" s="27"/>
      <c r="B157" s="14" t="str">
        <f>CONCATENATE("     ","Employees' Appreciation                           ")</f>
        <v xml:space="preserve">     Employees' Appreciation                           </v>
      </c>
      <c r="C157" s="14"/>
      <c r="D157" s="1">
        <f>SUM(OSRRefD22_8x_0)</f>
        <v>0</v>
      </c>
      <c r="E157" s="1"/>
      <c r="F157" s="5">
        <f t="shared" ref="F157:F163" si="66">IF(D$12=0,0,D157/D$12)</f>
        <v>0</v>
      </c>
      <c r="G157" s="1"/>
      <c r="H157" s="1">
        <f>SUM(OSRRefH22_8x_0)</f>
        <v>400</v>
      </c>
      <c r="I157" s="1"/>
      <c r="J157" s="5">
        <f t="shared" ref="J157:J163" si="67">IF(H$12=0,0,H157/H$12)</f>
        <v>1.0184647662114129E-3</v>
      </c>
      <c r="K157" s="1"/>
      <c r="L157" s="1">
        <f t="shared" ref="L157:L163" si="68">+D157-H157</f>
        <v>-400</v>
      </c>
      <c r="M157" s="1"/>
      <c r="N157" s="5">
        <f t="shared" ref="N157:N163" si="69">IF(H157=0,0,L157/H157)</f>
        <v>-1</v>
      </c>
      <c r="O157" s="14"/>
      <c r="P157" s="1">
        <f>SUM(OSRRefP22_8x_0)</f>
        <v>107.7</v>
      </c>
      <c r="Q157" s="1"/>
      <c r="R157" s="5">
        <f t="shared" ref="R157:R163" si="70">IF(P$12=0,0,P157/P$12)</f>
        <v>4.3646189013553942E-5</v>
      </c>
      <c r="S157" s="1"/>
      <c r="T157" s="1">
        <f>SUM(OSRRefT22_8x_0)</f>
        <v>2050</v>
      </c>
      <c r="U157" s="1"/>
      <c r="V157" s="5">
        <f t="shared" ref="V157:V163" si="71">IF(T$12=0,0,T157/T$12)</f>
        <v>4.553876693014731E-4</v>
      </c>
      <c r="W157" s="1"/>
      <c r="X157" s="1">
        <f t="shared" ref="X157:X163" si="72">+P157-T157</f>
        <v>-1942.3</v>
      </c>
      <c r="Y157" s="1"/>
      <c r="Z157" s="5">
        <f t="shared" ref="Z157:Z163" si="73">IF(T157=0,0,X157/T157)</f>
        <v>-0.94746341463414629</v>
      </c>
    </row>
    <row r="158" spans="1:26" s="24" customFormat="1" hidden="1" outlineLevel="2" x14ac:dyDescent="0.25">
      <c r="A158" s="28"/>
      <c r="B158" s="11" t="str">
        <f>CONCATENATE("          ", "6277", " - ", "EMPLOYEE APPRECIATION")</f>
        <v xml:space="preserve">          6277 - EMPLOYEE APPRECIATION</v>
      </c>
      <c r="C158" s="11"/>
      <c r="D158" s="6"/>
      <c r="E158" s="2"/>
      <c r="F158" s="7">
        <f t="shared" si="66"/>
        <v>0</v>
      </c>
      <c r="G158" s="2"/>
      <c r="H158" s="6">
        <v>400</v>
      </c>
      <c r="I158" s="2"/>
      <c r="J158" s="7">
        <f t="shared" si="67"/>
        <v>1.0184647662114129E-3</v>
      </c>
      <c r="K158" s="2"/>
      <c r="L158" s="6">
        <f t="shared" si="68"/>
        <v>-400</v>
      </c>
      <c r="M158" s="2"/>
      <c r="N158" s="7">
        <f t="shared" si="69"/>
        <v>-1</v>
      </c>
      <c r="O158" s="11"/>
      <c r="P158" s="6">
        <v>107.7</v>
      </c>
      <c r="Q158" s="2"/>
      <c r="R158" s="7">
        <f t="shared" si="70"/>
        <v>4.3646189013553942E-5</v>
      </c>
      <c r="S158" s="2"/>
      <c r="T158" s="6">
        <v>2050</v>
      </c>
      <c r="U158" s="2"/>
      <c r="V158" s="7">
        <f t="shared" si="71"/>
        <v>4.553876693014731E-4</v>
      </c>
      <c r="W158" s="2"/>
      <c r="X158" s="6">
        <f t="shared" si="72"/>
        <v>-1942.3</v>
      </c>
      <c r="Y158" s="2"/>
      <c r="Z158" s="7">
        <f t="shared" si="73"/>
        <v>-0.94746341463414629</v>
      </c>
    </row>
    <row r="159" spans="1:26" s="29" customFormat="1" outlineLevel="1" collapsed="1" x14ac:dyDescent="0.25">
      <c r="A159" s="27"/>
      <c r="B159" s="14" t="str">
        <f>CONCATENATE("     ","Equipment Rental                                  ")</f>
        <v xml:space="preserve">     Equipment Rental                                  </v>
      </c>
      <c r="C159" s="14"/>
      <c r="D159" s="1">
        <f>SUM(OSRRefD22_9x_0)</f>
        <v>1712.05</v>
      </c>
      <c r="E159" s="1"/>
      <c r="F159" s="5">
        <f t="shared" si="66"/>
        <v>1.5427673807224224E-2</v>
      </c>
      <c r="G159" s="1"/>
      <c r="H159" s="1">
        <f>SUM(OSRRefH22_9x_0)</f>
        <v>3152</v>
      </c>
      <c r="I159" s="1"/>
      <c r="J159" s="5">
        <f t="shared" si="67"/>
        <v>8.0255023577459339E-3</v>
      </c>
      <c r="K159" s="1"/>
      <c r="L159" s="1">
        <f t="shared" si="68"/>
        <v>-1439.95</v>
      </c>
      <c r="M159" s="1"/>
      <c r="N159" s="5">
        <f t="shared" si="69"/>
        <v>-0.45683692893401018</v>
      </c>
      <c r="O159" s="14"/>
      <c r="P159" s="1">
        <f>SUM(OSRRefP22_9x_0)</f>
        <v>7679.84</v>
      </c>
      <c r="Q159" s="1"/>
      <c r="R159" s="5">
        <f t="shared" si="70"/>
        <v>3.112309640054337E-3</v>
      </c>
      <c r="S159" s="1"/>
      <c r="T159" s="1">
        <f>SUM(OSRRefT22_9x_0)</f>
        <v>15322</v>
      </c>
      <c r="U159" s="1"/>
      <c r="V159" s="5">
        <f t="shared" si="71"/>
        <v>3.4036340824571566E-3</v>
      </c>
      <c r="W159" s="1"/>
      <c r="X159" s="1">
        <f t="shared" si="72"/>
        <v>-7642.16</v>
      </c>
      <c r="Y159" s="1"/>
      <c r="Z159" s="5">
        <f t="shared" si="73"/>
        <v>-0.49877039550972457</v>
      </c>
    </row>
    <row r="160" spans="1:26" s="24" customFormat="1" hidden="1" outlineLevel="2" x14ac:dyDescent="0.25">
      <c r="A160" s="28"/>
      <c r="B160" s="11" t="str">
        <f>CONCATENATE("          ", "6351", " - ", "EQUIPMENT RENTAL")</f>
        <v xml:space="preserve">          6351 - EQUIPMENT RENTAL</v>
      </c>
      <c r="C160" s="11"/>
      <c r="D160" s="6">
        <v>1712.05</v>
      </c>
      <c r="E160" s="2"/>
      <c r="F160" s="7">
        <f t="shared" si="66"/>
        <v>1.5427673807224224E-2</v>
      </c>
      <c r="G160" s="2"/>
      <c r="H160" s="6">
        <v>3152</v>
      </c>
      <c r="I160" s="2"/>
      <c r="J160" s="7">
        <f t="shared" si="67"/>
        <v>8.0255023577459339E-3</v>
      </c>
      <c r="K160" s="2"/>
      <c r="L160" s="6">
        <f t="shared" si="68"/>
        <v>-1439.95</v>
      </c>
      <c r="M160" s="2"/>
      <c r="N160" s="7">
        <f t="shared" si="69"/>
        <v>-0.45683692893401018</v>
      </c>
      <c r="O160" s="11"/>
      <c r="P160" s="6">
        <v>7679.84</v>
      </c>
      <c r="Q160" s="2"/>
      <c r="R160" s="7">
        <f t="shared" si="70"/>
        <v>3.112309640054337E-3</v>
      </c>
      <c r="S160" s="2"/>
      <c r="T160" s="6">
        <v>15322</v>
      </c>
      <c r="U160" s="2"/>
      <c r="V160" s="7">
        <f t="shared" si="71"/>
        <v>3.4036340824571566E-3</v>
      </c>
      <c r="W160" s="2"/>
      <c r="X160" s="6">
        <f t="shared" si="72"/>
        <v>-7642.16</v>
      </c>
      <c r="Y160" s="2"/>
      <c r="Z160" s="7">
        <f t="shared" si="73"/>
        <v>-0.49877039550972457</v>
      </c>
    </row>
    <row r="161" spans="1:26" s="29" customFormat="1" outlineLevel="1" collapsed="1" x14ac:dyDescent="0.25">
      <c r="A161" s="27"/>
      <c r="B161" s="14" t="str">
        <f>CONCATENATE("     ","Freight out/Postage                               ")</f>
        <v xml:space="preserve">     Freight out/Postage                               </v>
      </c>
      <c r="C161" s="14"/>
      <c r="D161" s="1">
        <f>SUM(OSRRefD22_10x_0)</f>
        <v>12498.470000000001</v>
      </c>
      <c r="E161" s="1"/>
      <c r="F161" s="5">
        <f t="shared" si="66"/>
        <v>0.11262656946314523</v>
      </c>
      <c r="G161" s="1"/>
      <c r="H161" s="1">
        <f>SUM(OSRRefH22_10x_0)</f>
        <v>8621</v>
      </c>
      <c r="I161" s="1"/>
      <c r="J161" s="5">
        <f t="shared" si="67"/>
        <v>2.1950461873771476E-2</v>
      </c>
      <c r="K161" s="1"/>
      <c r="L161" s="1">
        <f t="shared" si="68"/>
        <v>3877.4700000000012</v>
      </c>
      <c r="M161" s="1"/>
      <c r="N161" s="5">
        <f t="shared" si="69"/>
        <v>0.44977032826818247</v>
      </c>
      <c r="O161" s="14"/>
      <c r="P161" s="1">
        <f>SUM(OSRRefP22_10x_0)</f>
        <v>-19249.450000000012</v>
      </c>
      <c r="Q161" s="1"/>
      <c r="R161" s="5">
        <f t="shared" si="70"/>
        <v>-7.8009761662670048E-3</v>
      </c>
      <c r="S161" s="1"/>
      <c r="T161" s="1">
        <f>SUM(OSRRefT22_10x_0)</f>
        <v>43497</v>
      </c>
      <c r="U161" s="1"/>
      <c r="V161" s="5">
        <f t="shared" si="71"/>
        <v>9.662437781271304E-3</v>
      </c>
      <c r="W161" s="1"/>
      <c r="X161" s="1">
        <f t="shared" si="72"/>
        <v>-62746.450000000012</v>
      </c>
      <c r="Y161" s="1"/>
      <c r="Z161" s="5">
        <f t="shared" si="73"/>
        <v>-1.4425466124100514</v>
      </c>
    </row>
    <row r="162" spans="1:26" s="24" customFormat="1" hidden="1" outlineLevel="2" x14ac:dyDescent="0.25">
      <c r="A162" s="28"/>
      <c r="B162" s="11" t="str">
        <f>CONCATENATE("          ", "6305", " - ", "FREIGHT OUT")</f>
        <v xml:space="preserve">          6305 - FREIGHT OUT</v>
      </c>
      <c r="C162" s="11"/>
      <c r="D162" s="6">
        <v>16818.18</v>
      </c>
      <c r="E162" s="2"/>
      <c r="F162" s="7">
        <f t="shared" si="66"/>
        <v>0.15155246346262219</v>
      </c>
      <c r="G162" s="2"/>
      <c r="H162" s="6">
        <v>7601</v>
      </c>
      <c r="I162" s="2"/>
      <c r="J162" s="7">
        <f t="shared" si="67"/>
        <v>1.9353376719932373E-2</v>
      </c>
      <c r="K162" s="2"/>
      <c r="L162" s="6">
        <f t="shared" si="68"/>
        <v>9217.18</v>
      </c>
      <c r="M162" s="2"/>
      <c r="N162" s="7">
        <f t="shared" si="69"/>
        <v>1.2126272858834364</v>
      </c>
      <c r="O162" s="11"/>
      <c r="P162" s="6">
        <v>103166.34999999999</v>
      </c>
      <c r="Q162" s="2"/>
      <c r="R162" s="7">
        <f t="shared" si="70"/>
        <v>4.1808895189772148E-2</v>
      </c>
      <c r="S162" s="2"/>
      <c r="T162" s="6">
        <v>27647</v>
      </c>
      <c r="U162" s="2"/>
      <c r="V162" s="7">
        <f t="shared" si="71"/>
        <v>6.1415136064282075E-3</v>
      </c>
      <c r="W162" s="2"/>
      <c r="X162" s="6">
        <f t="shared" si="72"/>
        <v>75519.349999999991</v>
      </c>
      <c r="Y162" s="2"/>
      <c r="Z162" s="7">
        <f t="shared" si="73"/>
        <v>2.7315567692697216</v>
      </c>
    </row>
    <row r="163" spans="1:26" s="24" customFormat="1" hidden="1" outlineLevel="2" x14ac:dyDescent="0.25">
      <c r="A163" s="28"/>
      <c r="B163" s="11" t="str">
        <f>CONCATENATE("          ", "6307", " - ", "POSTAGE")</f>
        <v xml:space="preserve">          6307 - POSTAGE</v>
      </c>
      <c r="C163" s="11"/>
      <c r="D163" s="6">
        <v>-4319.71</v>
      </c>
      <c r="E163" s="2"/>
      <c r="F163" s="7">
        <f t="shared" si="66"/>
        <v>-3.8925893999476976E-2</v>
      </c>
      <c r="G163" s="2"/>
      <c r="H163" s="6">
        <v>1020</v>
      </c>
      <c r="I163" s="2"/>
      <c r="J163" s="7">
        <f t="shared" si="67"/>
        <v>2.5970851538391028E-3</v>
      </c>
      <c r="K163" s="2"/>
      <c r="L163" s="6">
        <f t="shared" si="68"/>
        <v>-5339.71</v>
      </c>
      <c r="M163" s="2"/>
      <c r="N163" s="7">
        <f t="shared" si="69"/>
        <v>-5.2350098039215682</v>
      </c>
      <c r="O163" s="11"/>
      <c r="P163" s="6">
        <v>-122415.8</v>
      </c>
      <c r="Q163" s="2"/>
      <c r="R163" s="7">
        <f t="shared" si="70"/>
        <v>-4.9609871356039149E-2</v>
      </c>
      <c r="S163" s="2"/>
      <c r="T163" s="6">
        <v>15850</v>
      </c>
      <c r="U163" s="2"/>
      <c r="V163" s="7">
        <f t="shared" si="71"/>
        <v>3.5209241748430965E-3</v>
      </c>
      <c r="W163" s="2"/>
      <c r="X163" s="6">
        <f t="shared" si="72"/>
        <v>-138265.79999999999</v>
      </c>
      <c r="Y163" s="2"/>
      <c r="Z163" s="7">
        <f t="shared" si="73"/>
        <v>-8.7233943217665608</v>
      </c>
    </row>
    <row r="164" spans="1:26" s="29" customFormat="1" outlineLevel="1" collapsed="1" x14ac:dyDescent="0.25">
      <c r="A164" s="27"/>
      <c r="B164" s="14" t="str">
        <f>CONCATENATE("     ","General                                           ")</f>
        <v xml:space="preserve">     General                                           </v>
      </c>
      <c r="C164" s="14"/>
      <c r="D164" s="1">
        <f>SUM(OSRRefD22_11x_0)</f>
        <v>4207.7299999999996</v>
      </c>
      <c r="E164" s="1"/>
      <c r="F164" s="5">
        <f t="shared" ref="F164:F167" si="74">IF(D$12=0,0,D164/D$12)</f>
        <v>3.7916816628528131E-2</v>
      </c>
      <c r="G164" s="1"/>
      <c r="H164" s="1">
        <f>SUM(OSRRefH22_11x_0)</f>
        <v>3050</v>
      </c>
      <c r="I164" s="1"/>
      <c r="J164" s="5">
        <f t="shared" ref="J164:J167" si="75">IF(H$12=0,0,H164/H$12)</f>
        <v>7.7657938423620239E-3</v>
      </c>
      <c r="K164" s="1"/>
      <c r="L164" s="1">
        <f t="shared" ref="L164:L167" si="76">+D164-H164</f>
        <v>1157.7299999999996</v>
      </c>
      <c r="M164" s="1"/>
      <c r="N164" s="5">
        <f t="shared" ref="N164:N167" si="77">IF(H164=0,0,L164/H164)</f>
        <v>0.37958360655737688</v>
      </c>
      <c r="O164" s="14"/>
      <c r="P164" s="1">
        <f>SUM(OSRRefP22_11x_0)</f>
        <v>2470</v>
      </c>
      <c r="Q164" s="1"/>
      <c r="R164" s="5">
        <f t="shared" ref="R164:R167" si="78">IF(P$12=0,0,P164/P$12)</f>
        <v>1.0009850219450161E-3</v>
      </c>
      <c r="S164" s="1"/>
      <c r="T164" s="1">
        <f>SUM(OSRRefT22_11x_0)</f>
        <v>9525</v>
      </c>
      <c r="U164" s="1"/>
      <c r="V164" s="5">
        <f t="shared" ref="V164:V167" si="79">IF(T$12=0,0,T164/T$12)</f>
        <v>2.1158866098031858E-3</v>
      </c>
      <c r="W164" s="1"/>
      <c r="X164" s="1">
        <f t="shared" ref="X164:X167" si="80">+P164-T164</f>
        <v>-7055</v>
      </c>
      <c r="Y164" s="1"/>
      <c r="Z164" s="5">
        <f t="shared" ref="Z164:Z167" si="81">IF(T164=0,0,X164/T164)</f>
        <v>-0.74068241469816276</v>
      </c>
    </row>
    <row r="165" spans="1:26" s="24" customFormat="1" hidden="1" outlineLevel="2" x14ac:dyDescent="0.25">
      <c r="A165" s="28"/>
      <c r="B165" s="11" t="str">
        <f>CONCATENATE("          ", "6269", " - ", "ENTERTAINMENT")</f>
        <v xml:space="preserve">          6269 - ENTERTAINMENT</v>
      </c>
      <c r="C165" s="11"/>
      <c r="D165" s="6"/>
      <c r="E165" s="2"/>
      <c r="F165" s="7">
        <f t="shared" si="74"/>
        <v>0</v>
      </c>
      <c r="G165" s="2"/>
      <c r="H165" s="6">
        <v>1250</v>
      </c>
      <c r="I165" s="2"/>
      <c r="J165" s="7">
        <f t="shared" si="75"/>
        <v>3.1827023944106655E-3</v>
      </c>
      <c r="K165" s="2"/>
      <c r="L165" s="6">
        <f t="shared" si="76"/>
        <v>-1250</v>
      </c>
      <c r="M165" s="2"/>
      <c r="N165" s="7">
        <f t="shared" si="77"/>
        <v>-1</v>
      </c>
      <c r="O165" s="11"/>
      <c r="P165" s="6"/>
      <c r="Q165" s="2"/>
      <c r="R165" s="7">
        <f t="shared" si="78"/>
        <v>0</v>
      </c>
      <c r="S165" s="2"/>
      <c r="T165" s="6">
        <v>1375</v>
      </c>
      <c r="U165" s="2"/>
      <c r="V165" s="7">
        <f t="shared" si="79"/>
        <v>3.0544294892171975E-4</v>
      </c>
      <c r="W165" s="2"/>
      <c r="X165" s="6">
        <f t="shared" si="80"/>
        <v>-1375</v>
      </c>
      <c r="Y165" s="2"/>
      <c r="Z165" s="7">
        <f t="shared" si="81"/>
        <v>-1</v>
      </c>
    </row>
    <row r="166" spans="1:26" s="24" customFormat="1" hidden="1" outlineLevel="2" x14ac:dyDescent="0.25">
      <c r="A166" s="28"/>
      <c r="B166" s="11" t="str">
        <f>CONCATENATE("          ", "6276", " - ", "PROPERTY TAX")</f>
        <v xml:space="preserve">          6276 - PROPERTY TAX</v>
      </c>
      <c r="C166" s="11"/>
      <c r="D166" s="6"/>
      <c r="E166" s="2"/>
      <c r="F166" s="7">
        <f t="shared" si="74"/>
        <v>0</v>
      </c>
      <c r="G166" s="2"/>
      <c r="H166" s="6"/>
      <c r="I166" s="2"/>
      <c r="J166" s="7">
        <f t="shared" si="75"/>
        <v>0</v>
      </c>
      <c r="K166" s="2"/>
      <c r="L166" s="6">
        <f t="shared" si="76"/>
        <v>0</v>
      </c>
      <c r="M166" s="2"/>
      <c r="N166" s="7">
        <f t="shared" si="77"/>
        <v>0</v>
      </c>
      <c r="O166" s="11"/>
      <c r="P166" s="6"/>
      <c r="Q166" s="2"/>
      <c r="R166" s="7">
        <f t="shared" si="78"/>
        <v>0</v>
      </c>
      <c r="S166" s="2"/>
      <c r="T166" s="6">
        <v>150</v>
      </c>
      <c r="U166" s="2"/>
      <c r="V166" s="7">
        <f t="shared" si="79"/>
        <v>3.3321048973278518E-5</v>
      </c>
      <c r="W166" s="2"/>
      <c r="X166" s="6">
        <f t="shared" si="80"/>
        <v>-150</v>
      </c>
      <c r="Y166" s="2"/>
      <c r="Z166" s="7">
        <f t="shared" si="81"/>
        <v>-1</v>
      </c>
    </row>
    <row r="167" spans="1:26" s="24" customFormat="1" hidden="1" outlineLevel="2" x14ac:dyDescent="0.25">
      <c r="A167" s="28"/>
      <c r="B167" s="11" t="str">
        <f>CONCATENATE("          ", "6279", " - ", "GENERAL EXPENSE")</f>
        <v xml:space="preserve">          6279 - GENERAL EXPENSE</v>
      </c>
      <c r="C167" s="11"/>
      <c r="D167" s="6">
        <v>4207.7299999999996</v>
      </c>
      <c r="E167" s="2"/>
      <c r="F167" s="7">
        <f t="shared" si="74"/>
        <v>3.7916816628528131E-2</v>
      </c>
      <c r="G167" s="2"/>
      <c r="H167" s="6">
        <v>1800</v>
      </c>
      <c r="I167" s="2"/>
      <c r="J167" s="7">
        <f t="shared" si="75"/>
        <v>4.5830914479513584E-3</v>
      </c>
      <c r="K167" s="2"/>
      <c r="L167" s="6">
        <f t="shared" si="76"/>
        <v>2407.7299999999996</v>
      </c>
      <c r="M167" s="2"/>
      <c r="N167" s="7">
        <f t="shared" si="77"/>
        <v>1.3376277777777776</v>
      </c>
      <c r="O167" s="11"/>
      <c r="P167" s="6">
        <v>2470</v>
      </c>
      <c r="Q167" s="2"/>
      <c r="R167" s="7">
        <f t="shared" si="78"/>
        <v>1.0009850219450161E-3</v>
      </c>
      <c r="S167" s="2"/>
      <c r="T167" s="6">
        <v>8000</v>
      </c>
      <c r="U167" s="2"/>
      <c r="V167" s="7">
        <f t="shared" si="79"/>
        <v>1.7771226119081877E-3</v>
      </c>
      <c r="W167" s="2"/>
      <c r="X167" s="6">
        <f t="shared" si="80"/>
        <v>-5530</v>
      </c>
      <c r="Y167" s="2"/>
      <c r="Z167" s="7">
        <f t="shared" si="81"/>
        <v>-0.69125000000000003</v>
      </c>
    </row>
    <row r="168" spans="1:26" s="29" customFormat="1" outlineLevel="1" collapsed="1" x14ac:dyDescent="0.25">
      <c r="A168" s="27"/>
      <c r="B168" s="14" t="str">
        <f>CONCATENATE("     ","Insurance                                         ")</f>
        <v xml:space="preserve">     Insurance                                         </v>
      </c>
      <c r="C168" s="14"/>
      <c r="D168" s="1">
        <f>SUM(OSRRefD22_12x_0)</f>
        <v>4288.28</v>
      </c>
      <c r="E168" s="1"/>
      <c r="F168" s="5">
        <f t="shared" ref="F168:F182" si="82">IF(D$12=0,0,D168/D$12)</f>
        <v>3.8642671086734325E-2</v>
      </c>
      <c r="G168" s="1"/>
      <c r="H168" s="1">
        <f>SUM(OSRRefH22_12x_0)</f>
        <v>4716</v>
      </c>
      <c r="I168" s="1"/>
      <c r="J168" s="5">
        <f t="shared" ref="J168:J182" si="83">IF(H$12=0,0,H168/H$12)</f>
        <v>1.2007699593632558E-2</v>
      </c>
      <c r="K168" s="1"/>
      <c r="L168" s="1">
        <f t="shared" ref="L168:L182" si="84">+D168-H168</f>
        <v>-427.72000000000025</v>
      </c>
      <c r="M168" s="1"/>
      <c r="N168" s="5">
        <f t="shared" ref="N168:N182" si="85">IF(H168=0,0,L168/H168)</f>
        <v>-9.0695504664970367E-2</v>
      </c>
      <c r="O168" s="14"/>
      <c r="P168" s="1">
        <f>SUM(OSRRefP22_12x_0)</f>
        <v>21441.4</v>
      </c>
      <c r="Q168" s="1"/>
      <c r="R168" s="5">
        <f t="shared" ref="R168:R182" si="86">IF(P$12=0,0,P168/P$12)</f>
        <v>8.6892794532517689E-3</v>
      </c>
      <c r="S168" s="1"/>
      <c r="T168" s="1">
        <f>SUM(OSRRefT22_12x_0)</f>
        <v>23580</v>
      </c>
      <c r="U168" s="1"/>
      <c r="V168" s="5">
        <f t="shared" ref="V168:V182" si="87">IF(T$12=0,0,T168/T$12)</f>
        <v>5.2380688985993826E-3</v>
      </c>
      <c r="W168" s="1"/>
      <c r="X168" s="1">
        <f t="shared" ref="X168:X182" si="88">+P168-T168</f>
        <v>-2138.5999999999985</v>
      </c>
      <c r="Y168" s="1"/>
      <c r="Z168" s="5">
        <f t="shared" ref="Z168:Z182" si="89">IF(T168=0,0,X168/T168)</f>
        <v>-9.0695504664970256E-2</v>
      </c>
    </row>
    <row r="169" spans="1:26" s="24" customFormat="1" hidden="1" outlineLevel="2" x14ac:dyDescent="0.25">
      <c r="A169" s="28"/>
      <c r="B169" s="11" t="str">
        <f>CONCATENATE("          ", "6314", " - ", "LIABILITY INSURANCE")</f>
        <v xml:space="preserve">          6314 - LIABILITY INSURANCE</v>
      </c>
      <c r="C169" s="11"/>
      <c r="D169" s="6">
        <v>4288.28</v>
      </c>
      <c r="E169" s="2"/>
      <c r="F169" s="7">
        <f t="shared" si="82"/>
        <v>3.8642671086734325E-2</v>
      </c>
      <c r="G169" s="2"/>
      <c r="H169" s="6">
        <v>4716</v>
      </c>
      <c r="I169" s="2"/>
      <c r="J169" s="7">
        <f t="shared" si="83"/>
        <v>1.2007699593632558E-2</v>
      </c>
      <c r="K169" s="2"/>
      <c r="L169" s="6">
        <f t="shared" si="84"/>
        <v>-427.72000000000025</v>
      </c>
      <c r="M169" s="2"/>
      <c r="N169" s="7">
        <f t="shared" si="85"/>
        <v>-9.0695504664970367E-2</v>
      </c>
      <c r="O169" s="11"/>
      <c r="P169" s="6">
        <v>21441.4</v>
      </c>
      <c r="Q169" s="2"/>
      <c r="R169" s="7">
        <f t="shared" si="86"/>
        <v>8.6892794532517689E-3</v>
      </c>
      <c r="S169" s="2"/>
      <c r="T169" s="6">
        <v>23580</v>
      </c>
      <c r="U169" s="2"/>
      <c r="V169" s="7">
        <f t="shared" si="87"/>
        <v>5.2380688985993826E-3</v>
      </c>
      <c r="W169" s="2"/>
      <c r="X169" s="6">
        <f t="shared" si="88"/>
        <v>-2138.5999999999985</v>
      </c>
      <c r="Y169" s="2"/>
      <c r="Z169" s="7">
        <f t="shared" si="89"/>
        <v>-9.0695504664970256E-2</v>
      </c>
    </row>
    <row r="170" spans="1:26" s="29" customFormat="1" outlineLevel="1" collapsed="1" x14ac:dyDescent="0.25">
      <c r="A170" s="27"/>
      <c r="B170" s="14" t="str">
        <f>CONCATENATE("     ","Interest                                          ")</f>
        <v xml:space="preserve">     Interest                                          </v>
      </c>
      <c r="C170" s="14"/>
      <c r="D170" s="1">
        <f>SUM(OSRRefD22_13x_0)</f>
        <v>4044</v>
      </c>
      <c r="E170" s="1"/>
      <c r="F170" s="5">
        <f t="shared" si="82"/>
        <v>3.6441408181078105E-2</v>
      </c>
      <c r="G170" s="1"/>
      <c r="H170" s="1">
        <f>SUM(OSRRefH22_13x_0)</f>
        <v>4044</v>
      </c>
      <c r="I170" s="1"/>
      <c r="J170" s="5">
        <f t="shared" si="83"/>
        <v>1.0296678786397385E-2</v>
      </c>
      <c r="K170" s="1"/>
      <c r="L170" s="1">
        <f t="shared" si="84"/>
        <v>0</v>
      </c>
      <c r="M170" s="1"/>
      <c r="N170" s="5">
        <f t="shared" si="85"/>
        <v>0</v>
      </c>
      <c r="O170" s="14"/>
      <c r="P170" s="1">
        <f>SUM(OSRRefP22_13x_0)</f>
        <v>19957.849999999999</v>
      </c>
      <c r="Q170" s="1"/>
      <c r="R170" s="5">
        <f t="shared" si="86"/>
        <v>8.0880602915892053E-3</v>
      </c>
      <c r="S170" s="1"/>
      <c r="T170" s="1">
        <f>SUM(OSRRefT22_13x_0)</f>
        <v>20220</v>
      </c>
      <c r="U170" s="1"/>
      <c r="V170" s="5">
        <f t="shared" si="87"/>
        <v>4.4916774015979445E-3</v>
      </c>
      <c r="W170" s="1"/>
      <c r="X170" s="1">
        <f t="shared" si="88"/>
        <v>-262.15000000000146</v>
      </c>
      <c r="Y170" s="1"/>
      <c r="Z170" s="5">
        <f t="shared" si="89"/>
        <v>-1.2964886251236471E-2</v>
      </c>
    </row>
    <row r="171" spans="1:26" s="24" customFormat="1" hidden="1" outlineLevel="2" x14ac:dyDescent="0.25">
      <c r="A171" s="28"/>
      <c r="B171" s="11" t="str">
        <f>CONCATENATE("          ", "6401", " - ", "INTEREST EXPENSE")</f>
        <v xml:space="preserve">          6401 - INTEREST EXPENSE</v>
      </c>
      <c r="C171" s="11"/>
      <c r="D171" s="6">
        <v>4044</v>
      </c>
      <c r="E171" s="2"/>
      <c r="F171" s="7">
        <f t="shared" si="82"/>
        <v>3.6441408181078105E-2</v>
      </c>
      <c r="G171" s="2"/>
      <c r="H171" s="6">
        <v>4044</v>
      </c>
      <c r="I171" s="2"/>
      <c r="J171" s="7">
        <f t="shared" si="83"/>
        <v>1.0296678786397385E-2</v>
      </c>
      <c r="K171" s="2"/>
      <c r="L171" s="6">
        <f t="shared" si="84"/>
        <v>0</v>
      </c>
      <c r="M171" s="2"/>
      <c r="N171" s="7">
        <f t="shared" si="85"/>
        <v>0</v>
      </c>
      <c r="O171" s="11"/>
      <c r="P171" s="6">
        <v>19957.849999999999</v>
      </c>
      <c r="Q171" s="2"/>
      <c r="R171" s="7">
        <f t="shared" si="86"/>
        <v>8.0880602915892053E-3</v>
      </c>
      <c r="S171" s="2"/>
      <c r="T171" s="6">
        <v>20220</v>
      </c>
      <c r="U171" s="2"/>
      <c r="V171" s="7">
        <f t="shared" si="87"/>
        <v>4.4916774015979445E-3</v>
      </c>
      <c r="W171" s="2"/>
      <c r="X171" s="6">
        <f t="shared" si="88"/>
        <v>-262.15000000000146</v>
      </c>
      <c r="Y171" s="2"/>
      <c r="Z171" s="7">
        <f t="shared" si="89"/>
        <v>-1.2964886251236471E-2</v>
      </c>
    </row>
    <row r="172" spans="1:26" s="29" customFormat="1" outlineLevel="1" collapsed="1" x14ac:dyDescent="0.25">
      <c r="A172" s="27"/>
      <c r="B172" s="14" t="str">
        <f>CONCATENATE("     ","Inventory Adjustment                              ")</f>
        <v xml:space="preserve">     Inventory Adjustment                              </v>
      </c>
      <c r="C172" s="14"/>
      <c r="D172" s="1">
        <f>SUM(OSRRefD22_14x_0)</f>
        <v>2100</v>
      </c>
      <c r="E172" s="1"/>
      <c r="F172" s="5">
        <f t="shared" si="82"/>
        <v>1.8923579915990113E-2</v>
      </c>
      <c r="G172" s="1"/>
      <c r="H172" s="1">
        <f>SUM(OSRRefH22_14x_0)</f>
        <v>3100</v>
      </c>
      <c r="I172" s="1"/>
      <c r="J172" s="5">
        <f t="shared" si="83"/>
        <v>7.8931019381384502E-3</v>
      </c>
      <c r="K172" s="1"/>
      <c r="L172" s="1">
        <f t="shared" si="84"/>
        <v>-1000</v>
      </c>
      <c r="M172" s="1"/>
      <c r="N172" s="5">
        <f t="shared" si="85"/>
        <v>-0.32258064516129031</v>
      </c>
      <c r="O172" s="14"/>
      <c r="P172" s="1">
        <f>SUM(OSRRefP22_14x_0)</f>
        <v>10500</v>
      </c>
      <c r="Q172" s="1"/>
      <c r="R172" s="5">
        <f t="shared" si="86"/>
        <v>4.25519948600108E-3</v>
      </c>
      <c r="S172" s="1"/>
      <c r="T172" s="1">
        <f>SUM(OSRRefT22_14x_0)</f>
        <v>15500</v>
      </c>
      <c r="U172" s="1"/>
      <c r="V172" s="5">
        <f t="shared" si="87"/>
        <v>3.4431750605721134E-3</v>
      </c>
      <c r="W172" s="1"/>
      <c r="X172" s="1">
        <f t="shared" si="88"/>
        <v>-5000</v>
      </c>
      <c r="Y172" s="1"/>
      <c r="Z172" s="5">
        <f t="shared" si="89"/>
        <v>-0.32258064516129031</v>
      </c>
    </row>
    <row r="173" spans="1:26" s="24" customFormat="1" hidden="1" outlineLevel="2" x14ac:dyDescent="0.25">
      <c r="A173" s="28"/>
      <c r="B173" s="11" t="str">
        <f>CONCATENATE("          ", "6408", " - ", "INVENTORY ADJUSTMENT")</f>
        <v xml:space="preserve">          6408 - INVENTORY ADJUSTMENT</v>
      </c>
      <c r="C173" s="11"/>
      <c r="D173" s="6">
        <v>2100</v>
      </c>
      <c r="E173" s="2"/>
      <c r="F173" s="7">
        <f t="shared" si="82"/>
        <v>1.8923579915990113E-2</v>
      </c>
      <c r="G173" s="2"/>
      <c r="H173" s="6">
        <v>3100</v>
      </c>
      <c r="I173" s="2"/>
      <c r="J173" s="7">
        <f t="shared" si="83"/>
        <v>7.8931019381384502E-3</v>
      </c>
      <c r="K173" s="2"/>
      <c r="L173" s="6">
        <f t="shared" si="84"/>
        <v>-1000</v>
      </c>
      <c r="M173" s="2"/>
      <c r="N173" s="7">
        <f t="shared" si="85"/>
        <v>-0.32258064516129031</v>
      </c>
      <c r="O173" s="11"/>
      <c r="P173" s="6">
        <v>10500</v>
      </c>
      <c r="Q173" s="2"/>
      <c r="R173" s="7">
        <f t="shared" si="86"/>
        <v>4.25519948600108E-3</v>
      </c>
      <c r="S173" s="2"/>
      <c r="T173" s="6">
        <v>15500</v>
      </c>
      <c r="U173" s="2"/>
      <c r="V173" s="7">
        <f t="shared" si="87"/>
        <v>3.4431750605721134E-3</v>
      </c>
      <c r="W173" s="2"/>
      <c r="X173" s="6">
        <f t="shared" si="88"/>
        <v>-5000</v>
      </c>
      <c r="Y173" s="2"/>
      <c r="Z173" s="7">
        <f t="shared" si="89"/>
        <v>-0.32258064516129031</v>
      </c>
    </row>
    <row r="174" spans="1:26" s="29" customFormat="1" outlineLevel="1" collapsed="1" x14ac:dyDescent="0.25">
      <c r="A174" s="27"/>
      <c r="B174" s="14" t="str">
        <f>CONCATENATE("     ","Professional Services                             ")</f>
        <v xml:space="preserve">     Professional Services                             </v>
      </c>
      <c r="C174" s="14"/>
      <c r="D174" s="1">
        <f>SUM(OSRRefD22_15x_0)</f>
        <v>0</v>
      </c>
      <c r="E174" s="1"/>
      <c r="F174" s="5">
        <f t="shared" si="82"/>
        <v>0</v>
      </c>
      <c r="G174" s="1"/>
      <c r="H174" s="1">
        <f>SUM(OSRRefH22_15x_0)</f>
        <v>0</v>
      </c>
      <c r="I174" s="1"/>
      <c r="J174" s="5">
        <f t="shared" si="83"/>
        <v>0</v>
      </c>
      <c r="K174" s="1"/>
      <c r="L174" s="1">
        <f t="shared" si="84"/>
        <v>0</v>
      </c>
      <c r="M174" s="1"/>
      <c r="N174" s="5">
        <f t="shared" si="85"/>
        <v>0</v>
      </c>
      <c r="O174" s="14"/>
      <c r="P174" s="1">
        <f>SUM(OSRRefP22_15x_0)</f>
        <v>0</v>
      </c>
      <c r="Q174" s="1"/>
      <c r="R174" s="5">
        <f t="shared" si="86"/>
        <v>0</v>
      </c>
      <c r="S174" s="1"/>
      <c r="T174" s="1">
        <f>SUM(OSRRefT22_15x_0)</f>
        <v>6800</v>
      </c>
      <c r="U174" s="1"/>
      <c r="V174" s="5">
        <f t="shared" si="87"/>
        <v>1.5105542201219594E-3</v>
      </c>
      <c r="W174" s="1"/>
      <c r="X174" s="1">
        <f t="shared" si="88"/>
        <v>-6800</v>
      </c>
      <c r="Y174" s="1"/>
      <c r="Z174" s="5">
        <f t="shared" si="89"/>
        <v>-1</v>
      </c>
    </row>
    <row r="175" spans="1:26" s="24" customFormat="1" hidden="1" outlineLevel="2" x14ac:dyDescent="0.25">
      <c r="A175" s="28"/>
      <c r="B175" s="11" t="str">
        <f>CONCATENATE("          ", "6336", " - ", "PROFESSIONAL SERVICES")</f>
        <v xml:space="preserve">          6336 - PROFESSIONAL SERVICES</v>
      </c>
      <c r="C175" s="11"/>
      <c r="D175" s="6"/>
      <c r="E175" s="2"/>
      <c r="F175" s="7">
        <f t="shared" si="82"/>
        <v>0</v>
      </c>
      <c r="G175" s="2"/>
      <c r="H175" s="6">
        <v>0</v>
      </c>
      <c r="I175" s="2"/>
      <c r="J175" s="7">
        <f t="shared" si="83"/>
        <v>0</v>
      </c>
      <c r="K175" s="2"/>
      <c r="L175" s="6">
        <f t="shared" si="84"/>
        <v>0</v>
      </c>
      <c r="M175" s="2"/>
      <c r="N175" s="7">
        <f t="shared" si="85"/>
        <v>0</v>
      </c>
      <c r="O175" s="11"/>
      <c r="P175" s="6"/>
      <c r="Q175" s="2"/>
      <c r="R175" s="7">
        <f t="shared" si="86"/>
        <v>0</v>
      </c>
      <c r="S175" s="2"/>
      <c r="T175" s="6">
        <v>6800</v>
      </c>
      <c r="U175" s="2"/>
      <c r="V175" s="7">
        <f t="shared" si="87"/>
        <v>1.5105542201219594E-3</v>
      </c>
      <c r="W175" s="2"/>
      <c r="X175" s="6">
        <f t="shared" si="88"/>
        <v>-6800</v>
      </c>
      <c r="Y175" s="2"/>
      <c r="Z175" s="7">
        <f t="shared" si="89"/>
        <v>-1</v>
      </c>
    </row>
    <row r="176" spans="1:26" s="29" customFormat="1" outlineLevel="1" collapsed="1" x14ac:dyDescent="0.25">
      <c r="A176" s="27"/>
      <c r="B176" s="14" t="str">
        <f>CONCATENATE("     ","Rent                                              ")</f>
        <v xml:space="preserve">     Rent                                              </v>
      </c>
      <c r="C176" s="14"/>
      <c r="D176" s="1">
        <f>SUM(OSRRefD22_16x_0)</f>
        <v>6100</v>
      </c>
      <c r="E176" s="1"/>
      <c r="F176" s="5">
        <f t="shared" si="82"/>
        <v>5.4968494041685564E-2</v>
      </c>
      <c r="G176" s="1"/>
      <c r="H176" s="1">
        <f>SUM(OSRRefH22_16x_0)</f>
        <v>6100</v>
      </c>
      <c r="I176" s="1"/>
      <c r="J176" s="5">
        <f t="shared" si="83"/>
        <v>1.5531587684724048E-2</v>
      </c>
      <c r="K176" s="1"/>
      <c r="L176" s="1">
        <f t="shared" si="84"/>
        <v>0</v>
      </c>
      <c r="M176" s="1"/>
      <c r="N176" s="5">
        <f t="shared" si="85"/>
        <v>0</v>
      </c>
      <c r="O176" s="14"/>
      <c r="P176" s="1">
        <f>SUM(OSRRefP22_16x_0)</f>
        <v>30500</v>
      </c>
      <c r="Q176" s="1"/>
      <c r="R176" s="5">
        <f t="shared" si="86"/>
        <v>1.2360341364098377E-2</v>
      </c>
      <c r="S176" s="1"/>
      <c r="T176" s="1">
        <f>SUM(OSRRefT22_16x_0)</f>
        <v>30501</v>
      </c>
      <c r="U176" s="1"/>
      <c r="V176" s="5">
        <f t="shared" si="87"/>
        <v>6.775502098226454E-3</v>
      </c>
      <c r="W176" s="1"/>
      <c r="X176" s="1">
        <f t="shared" si="88"/>
        <v>-1</v>
      </c>
      <c r="Y176" s="1"/>
      <c r="Z176" s="5">
        <f t="shared" si="89"/>
        <v>-3.2785810301301594E-5</v>
      </c>
    </row>
    <row r="177" spans="1:26" s="24" customFormat="1" hidden="1" outlineLevel="2" x14ac:dyDescent="0.25">
      <c r="A177" s="28"/>
      <c r="B177" s="11" t="str">
        <f>CONCATENATE("          ", "6273", " - ", "RENT")</f>
        <v xml:space="preserve">          6273 - RENT</v>
      </c>
      <c r="C177" s="11"/>
      <c r="D177" s="6">
        <v>6100</v>
      </c>
      <c r="E177" s="2"/>
      <c r="F177" s="7">
        <f t="shared" si="82"/>
        <v>5.4968494041685564E-2</v>
      </c>
      <c r="G177" s="2"/>
      <c r="H177" s="6">
        <v>6100</v>
      </c>
      <c r="I177" s="2"/>
      <c r="J177" s="7">
        <f t="shared" si="83"/>
        <v>1.5531587684724048E-2</v>
      </c>
      <c r="K177" s="2"/>
      <c r="L177" s="6">
        <f t="shared" si="84"/>
        <v>0</v>
      </c>
      <c r="M177" s="2"/>
      <c r="N177" s="7">
        <f t="shared" si="85"/>
        <v>0</v>
      </c>
      <c r="O177" s="11"/>
      <c r="P177" s="6">
        <v>30500</v>
      </c>
      <c r="Q177" s="2"/>
      <c r="R177" s="7">
        <f t="shared" si="86"/>
        <v>1.2360341364098377E-2</v>
      </c>
      <c r="S177" s="2"/>
      <c r="T177" s="6">
        <v>30501</v>
      </c>
      <c r="U177" s="2"/>
      <c r="V177" s="7">
        <f t="shared" si="87"/>
        <v>6.775502098226454E-3</v>
      </c>
      <c r="W177" s="2"/>
      <c r="X177" s="6">
        <f t="shared" si="88"/>
        <v>-1</v>
      </c>
      <c r="Y177" s="2"/>
      <c r="Z177" s="7">
        <f t="shared" si="89"/>
        <v>-3.2785810301301594E-5</v>
      </c>
    </row>
    <row r="178" spans="1:26" s="29" customFormat="1" outlineLevel="1" collapsed="1" x14ac:dyDescent="0.25">
      <c r="A178" s="27"/>
      <c r="B178" s="14" t="str">
        <f>CONCATENATE("     ","Repair and Maintenance                            ")</f>
        <v xml:space="preserve">     Repair and Maintenance                            </v>
      </c>
      <c r="C178" s="14"/>
      <c r="D178" s="1">
        <f>SUM(OSRRefD22_17x_0)</f>
        <v>4116.45</v>
      </c>
      <c r="E178" s="1"/>
      <c r="F178" s="5">
        <f t="shared" si="82"/>
        <v>3.7094271688179761E-2</v>
      </c>
      <c r="G178" s="1"/>
      <c r="H178" s="1">
        <f>SUM(OSRRefH22_17x_0)</f>
        <v>11075</v>
      </c>
      <c r="I178" s="1"/>
      <c r="J178" s="5">
        <f t="shared" si="83"/>
        <v>2.8198743214478496E-2</v>
      </c>
      <c r="K178" s="1"/>
      <c r="L178" s="1">
        <f t="shared" si="84"/>
        <v>-6958.55</v>
      </c>
      <c r="M178" s="1"/>
      <c r="N178" s="5">
        <f t="shared" si="85"/>
        <v>-0.62831151241534988</v>
      </c>
      <c r="O178" s="14"/>
      <c r="P178" s="1">
        <f>SUM(OSRRefP22_17x_0)</f>
        <v>103169.55</v>
      </c>
      <c r="Q178" s="1"/>
      <c r="R178" s="5">
        <f t="shared" si="86"/>
        <v>4.1810192012472644E-2</v>
      </c>
      <c r="S178" s="1"/>
      <c r="T178" s="1">
        <f>SUM(OSRRefT22_17x_0)</f>
        <v>116032</v>
      </c>
      <c r="U178" s="1"/>
      <c r="V178" s="5">
        <f t="shared" si="87"/>
        <v>2.5775386363116354E-2</v>
      </c>
      <c r="W178" s="1"/>
      <c r="X178" s="1">
        <f t="shared" si="88"/>
        <v>-12862.449999999997</v>
      </c>
      <c r="Y178" s="1"/>
      <c r="Z178" s="5">
        <f t="shared" si="89"/>
        <v>-0.11085260962493103</v>
      </c>
    </row>
    <row r="179" spans="1:26" s="24" customFormat="1" hidden="1" outlineLevel="2" x14ac:dyDescent="0.25">
      <c r="A179" s="28"/>
      <c r="B179" s="11" t="str">
        <f>CONCATENATE("          ", "6371", " - ", "COMPUTER SOFTWARE MAINTENANCE")</f>
        <v xml:space="preserve">          6371 - COMPUTER SOFTWARE MAINTENANCE</v>
      </c>
      <c r="C179" s="11"/>
      <c r="D179" s="6"/>
      <c r="E179" s="2"/>
      <c r="F179" s="7">
        <f t="shared" si="82"/>
        <v>0</v>
      </c>
      <c r="G179" s="2"/>
      <c r="H179" s="6"/>
      <c r="I179" s="2"/>
      <c r="J179" s="7">
        <f t="shared" si="83"/>
        <v>0</v>
      </c>
      <c r="K179" s="2"/>
      <c r="L179" s="6">
        <f t="shared" si="84"/>
        <v>0</v>
      </c>
      <c r="M179" s="2"/>
      <c r="N179" s="7">
        <f t="shared" si="85"/>
        <v>0</v>
      </c>
      <c r="O179" s="11"/>
      <c r="P179" s="6">
        <v>58436.47</v>
      </c>
      <c r="Q179" s="2"/>
      <c r="R179" s="7">
        <f t="shared" si="86"/>
        <v>2.3681794010258814E-2</v>
      </c>
      <c r="S179" s="2"/>
      <c r="T179" s="6">
        <v>45043</v>
      </c>
      <c r="U179" s="2"/>
      <c r="V179" s="7">
        <f t="shared" si="87"/>
        <v>1.0005866726022562E-2</v>
      </c>
      <c r="W179" s="2"/>
      <c r="X179" s="6">
        <f t="shared" si="88"/>
        <v>13393.470000000001</v>
      </c>
      <c r="Y179" s="2"/>
      <c r="Z179" s="7">
        <f t="shared" si="89"/>
        <v>0.2973485336234265</v>
      </c>
    </row>
    <row r="180" spans="1:26" s="24" customFormat="1" hidden="1" outlineLevel="2" x14ac:dyDescent="0.25">
      <c r="A180" s="28"/>
      <c r="B180" s="11" t="str">
        <f>CONCATENATE("          ", "6372", " - ", "COMPUTER HARDWARE MAINTENANCE")</f>
        <v xml:space="preserve">          6372 - COMPUTER HARDWARE MAINTENANCE</v>
      </c>
      <c r="C180" s="11"/>
      <c r="D180" s="6"/>
      <c r="E180" s="2"/>
      <c r="F180" s="7">
        <f t="shared" si="82"/>
        <v>0</v>
      </c>
      <c r="G180" s="2"/>
      <c r="H180" s="6"/>
      <c r="I180" s="2"/>
      <c r="J180" s="7">
        <f t="shared" si="83"/>
        <v>0</v>
      </c>
      <c r="K180" s="2"/>
      <c r="L180" s="6">
        <f t="shared" si="84"/>
        <v>0</v>
      </c>
      <c r="M180" s="2"/>
      <c r="N180" s="7">
        <f t="shared" si="85"/>
        <v>0</v>
      </c>
      <c r="O180" s="11"/>
      <c r="P180" s="6">
        <v>0</v>
      </c>
      <c r="Q180" s="2"/>
      <c r="R180" s="7">
        <f t="shared" si="86"/>
        <v>0</v>
      </c>
      <c r="S180" s="2"/>
      <c r="T180" s="6">
        <v>437</v>
      </c>
      <c r="U180" s="2"/>
      <c r="V180" s="7">
        <f t="shared" si="87"/>
        <v>9.7075322675484749E-5</v>
      </c>
      <c r="W180" s="2"/>
      <c r="X180" s="6">
        <f t="shared" si="88"/>
        <v>-437</v>
      </c>
      <c r="Y180" s="2"/>
      <c r="Z180" s="7">
        <f t="shared" si="89"/>
        <v>-1</v>
      </c>
    </row>
    <row r="181" spans="1:26" s="24" customFormat="1" hidden="1" outlineLevel="2" x14ac:dyDescent="0.25">
      <c r="A181" s="28"/>
      <c r="B181" s="11" t="str">
        <f>CONCATENATE("          ", "6373", " - ", "MAINTENANCE CONTRACTS")</f>
        <v xml:space="preserve">          6373 - MAINTENANCE CONTRACTS</v>
      </c>
      <c r="C181" s="11"/>
      <c r="D181" s="6">
        <v>440.29</v>
      </c>
      <c r="E181" s="2"/>
      <c r="F181" s="7">
        <f t="shared" si="82"/>
        <v>3.9675538101006129E-3</v>
      </c>
      <c r="G181" s="2"/>
      <c r="H181" s="6">
        <v>2440</v>
      </c>
      <c r="I181" s="2"/>
      <c r="J181" s="7">
        <f t="shared" si="83"/>
        <v>6.2126350738896186E-3</v>
      </c>
      <c r="K181" s="2"/>
      <c r="L181" s="6">
        <f t="shared" si="84"/>
        <v>-1999.71</v>
      </c>
      <c r="M181" s="2"/>
      <c r="N181" s="7">
        <f t="shared" si="85"/>
        <v>-0.81955327868852457</v>
      </c>
      <c r="O181" s="11"/>
      <c r="P181" s="6">
        <v>31681.16</v>
      </c>
      <c r="Q181" s="2"/>
      <c r="R181" s="7">
        <f t="shared" si="86"/>
        <v>1.2839014833135046E-2</v>
      </c>
      <c r="S181" s="2"/>
      <c r="T181" s="6">
        <v>27003</v>
      </c>
      <c r="U181" s="2"/>
      <c r="V181" s="7">
        <f t="shared" si="87"/>
        <v>5.9984552361695984E-3</v>
      </c>
      <c r="W181" s="2"/>
      <c r="X181" s="6">
        <f t="shared" si="88"/>
        <v>4678.16</v>
      </c>
      <c r="Y181" s="2"/>
      <c r="Z181" s="7">
        <f t="shared" si="89"/>
        <v>0.17324593563678109</v>
      </c>
    </row>
    <row r="182" spans="1:26" s="24" customFormat="1" hidden="1" outlineLevel="2" x14ac:dyDescent="0.25">
      <c r="A182" s="28"/>
      <c r="B182" s="11" t="str">
        <f>CONCATENATE("          ", "6375", " - ", "OUTSIDE REPAIRS &amp; MAINTENANCE")</f>
        <v xml:space="preserve">          6375 - OUTSIDE REPAIRS &amp; MAINTENANCE</v>
      </c>
      <c r="C182" s="11"/>
      <c r="D182" s="6">
        <v>3676.16</v>
      </c>
      <c r="E182" s="2"/>
      <c r="F182" s="7">
        <f t="shared" si="82"/>
        <v>3.3126717878079151E-2</v>
      </c>
      <c r="G182" s="2"/>
      <c r="H182" s="6">
        <v>8635</v>
      </c>
      <c r="I182" s="2"/>
      <c r="J182" s="7">
        <f t="shared" si="83"/>
        <v>2.1986108140588875E-2</v>
      </c>
      <c r="K182" s="2"/>
      <c r="L182" s="6">
        <f t="shared" si="84"/>
        <v>-4958.84</v>
      </c>
      <c r="M182" s="2"/>
      <c r="N182" s="7">
        <f t="shared" si="85"/>
        <v>-0.57427214823393169</v>
      </c>
      <c r="O182" s="11"/>
      <c r="P182" s="6">
        <v>13051.92</v>
      </c>
      <c r="Q182" s="2"/>
      <c r="R182" s="7">
        <f t="shared" si="86"/>
        <v>5.289383169078783E-3</v>
      </c>
      <c r="S182" s="2"/>
      <c r="T182" s="6">
        <v>43549</v>
      </c>
      <c r="U182" s="2"/>
      <c r="V182" s="7">
        <f t="shared" si="87"/>
        <v>9.673989078248707E-3</v>
      </c>
      <c r="W182" s="2"/>
      <c r="X182" s="6">
        <f t="shared" si="88"/>
        <v>-30497.08</v>
      </c>
      <c r="Y182" s="2"/>
      <c r="Z182" s="7">
        <f t="shared" si="89"/>
        <v>-0.70029346253645319</v>
      </c>
    </row>
    <row r="183" spans="1:26" s="29" customFormat="1" outlineLevel="1" collapsed="1" x14ac:dyDescent="0.25">
      <c r="A183" s="27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SUM(OSRRefD22_18x_0)</f>
        <v>4453.09</v>
      </c>
      <c r="E183" s="1"/>
      <c r="F183" s="5">
        <f t="shared" ref="F183:F187" si="90">IF(D$12=0,0,D183/D$12)</f>
        <v>4.012781166099829E-2</v>
      </c>
      <c r="G183" s="1"/>
      <c r="H183" s="1">
        <f>SUM(OSRRefH22_18x_0)</f>
        <v>7801</v>
      </c>
      <c r="I183" s="1"/>
      <c r="J183" s="5">
        <f t="shared" ref="J183:J187" si="91">IF(H$12=0,0,H183/H$12)</f>
        <v>1.9862609103038081E-2</v>
      </c>
      <c r="K183" s="1"/>
      <c r="L183" s="1">
        <f t="shared" ref="L183:L187" si="92">+D183-H183</f>
        <v>-3347.91</v>
      </c>
      <c r="M183" s="1"/>
      <c r="N183" s="5">
        <f t="shared" ref="N183:N187" si="93">IF(H183=0,0,L183/H183)</f>
        <v>-0.42916420971670299</v>
      </c>
      <c r="O183" s="14"/>
      <c r="P183" s="1">
        <f>SUM(OSRRefP22_18x_0)</f>
        <v>28755.79</v>
      </c>
      <c r="Q183" s="1"/>
      <c r="R183" s="5">
        <f t="shared" ref="R183:R187" si="94">IF(P$12=0,0,P183/P$12)</f>
        <v>1.1653487888338572E-2</v>
      </c>
      <c r="S183" s="1"/>
      <c r="T183" s="1">
        <f>SUM(OSRRefT22_18x_0)</f>
        <v>37530</v>
      </c>
      <c r="U183" s="1"/>
      <c r="V183" s="5">
        <f t="shared" ref="V183:V187" si="95">IF(T$12=0,0,T183/T$12)</f>
        <v>8.3369264531142854E-3</v>
      </c>
      <c r="W183" s="1"/>
      <c r="X183" s="1">
        <f t="shared" ref="X183:X187" si="96">+P183-T183</f>
        <v>-8774.2099999999991</v>
      </c>
      <c r="Y183" s="1"/>
      <c r="Z183" s="5">
        <f t="shared" ref="Z183:Z187" si="97">IF(T183=0,0,X183/T183)</f>
        <v>-0.23379189981348253</v>
      </c>
    </row>
    <row r="184" spans="1:26" s="24" customFormat="1" hidden="1" outlineLevel="2" x14ac:dyDescent="0.25">
      <c r="A184" s="28"/>
      <c r="B184" s="11" t="str">
        <f>CONCATENATE("          ", "6252", " - ", "ROYALTY DUE CSTV")</f>
        <v xml:space="preserve">          6252 - ROYALTY DUE CSTV</v>
      </c>
      <c r="C184" s="11"/>
      <c r="D184" s="6"/>
      <c r="E184" s="2"/>
      <c r="F184" s="7">
        <f t="shared" si="90"/>
        <v>0</v>
      </c>
      <c r="G184" s="2"/>
      <c r="H184" s="6">
        <v>1085</v>
      </c>
      <c r="I184" s="2"/>
      <c r="J184" s="7">
        <f t="shared" si="91"/>
        <v>2.7625856783484574E-3</v>
      </c>
      <c r="K184" s="2"/>
      <c r="L184" s="6">
        <f t="shared" si="92"/>
        <v>-1085</v>
      </c>
      <c r="M184" s="2"/>
      <c r="N184" s="7">
        <f t="shared" si="93"/>
        <v>-1</v>
      </c>
      <c r="O184" s="11"/>
      <c r="P184" s="6"/>
      <c r="Q184" s="2"/>
      <c r="R184" s="7">
        <f t="shared" si="94"/>
        <v>0</v>
      </c>
      <c r="S184" s="2"/>
      <c r="T184" s="6">
        <v>5425</v>
      </c>
      <c r="U184" s="2"/>
      <c r="V184" s="7">
        <f t="shared" si="95"/>
        <v>1.2051112712002398E-3</v>
      </c>
      <c r="W184" s="2"/>
      <c r="X184" s="6">
        <f t="shared" si="96"/>
        <v>-5425</v>
      </c>
      <c r="Y184" s="2"/>
      <c r="Z184" s="7">
        <f t="shared" si="97"/>
        <v>-1</v>
      </c>
    </row>
    <row r="185" spans="1:26" s="24" customFormat="1" hidden="1" outlineLevel="2" x14ac:dyDescent="0.25">
      <c r="A185" s="28"/>
      <c r="B185" s="11" t="str">
        <f>CONCATENATE("          ", "6253", " - ", "ROYALTY DUE ATHLETICS-LRG")</f>
        <v xml:space="preserve">          6253 - ROYALTY DUE ATHLETICS-LRG</v>
      </c>
      <c r="C185" s="11"/>
      <c r="D185" s="6"/>
      <c r="E185" s="2"/>
      <c r="F185" s="7">
        <f t="shared" si="90"/>
        <v>0</v>
      </c>
      <c r="G185" s="2"/>
      <c r="H185" s="6">
        <v>4037</v>
      </c>
      <c r="I185" s="2"/>
      <c r="J185" s="7">
        <f t="shared" si="91"/>
        <v>1.0278855652988686E-2</v>
      </c>
      <c r="K185" s="2"/>
      <c r="L185" s="6">
        <f t="shared" si="92"/>
        <v>-4037</v>
      </c>
      <c r="M185" s="2"/>
      <c r="N185" s="7">
        <f t="shared" si="93"/>
        <v>-1</v>
      </c>
      <c r="O185" s="11"/>
      <c r="P185" s="6">
        <v>18411.8</v>
      </c>
      <c r="Q185" s="2"/>
      <c r="R185" s="7">
        <f t="shared" si="94"/>
        <v>7.4615125615575895E-3</v>
      </c>
      <c r="S185" s="2"/>
      <c r="T185" s="6">
        <v>20185</v>
      </c>
      <c r="U185" s="2"/>
      <c r="V185" s="7">
        <f t="shared" si="95"/>
        <v>4.4839024901708463E-3</v>
      </c>
      <c r="W185" s="2"/>
      <c r="X185" s="6">
        <f t="shared" si="96"/>
        <v>-1773.2000000000007</v>
      </c>
      <c r="Y185" s="2"/>
      <c r="Z185" s="7">
        <f t="shared" si="97"/>
        <v>-8.7847411444141724E-2</v>
      </c>
    </row>
    <row r="186" spans="1:26" s="24" customFormat="1" hidden="1" outlineLevel="2" x14ac:dyDescent="0.25">
      <c r="A186" s="28"/>
      <c r="B186" s="11" t="str">
        <f>CONCATENATE("          ", "6254", " - ", "ROYALTY &amp; COMMISSIONS")</f>
        <v xml:space="preserve">          6254 - ROYALTY &amp; COMMISSIONS</v>
      </c>
      <c r="C186" s="11"/>
      <c r="D186" s="6"/>
      <c r="E186" s="2"/>
      <c r="F186" s="7">
        <f t="shared" si="90"/>
        <v>0</v>
      </c>
      <c r="G186" s="2"/>
      <c r="H186" s="6">
        <v>1149</v>
      </c>
      <c r="I186" s="2"/>
      <c r="J186" s="7">
        <f t="shared" si="91"/>
        <v>2.9255400409422838E-3</v>
      </c>
      <c r="K186" s="2"/>
      <c r="L186" s="6">
        <f t="shared" si="92"/>
        <v>-1149</v>
      </c>
      <c r="M186" s="2"/>
      <c r="N186" s="7">
        <f t="shared" si="93"/>
        <v>-1</v>
      </c>
      <c r="O186" s="11"/>
      <c r="P186" s="6">
        <v>185.7</v>
      </c>
      <c r="Q186" s="2"/>
      <c r="R186" s="7">
        <f t="shared" si="94"/>
        <v>7.5256242338133392E-5</v>
      </c>
      <c r="S186" s="2"/>
      <c r="T186" s="6">
        <v>5745</v>
      </c>
      <c r="U186" s="2"/>
      <c r="V186" s="7">
        <f t="shared" si="95"/>
        <v>1.2761961756765673E-3</v>
      </c>
      <c r="W186" s="2"/>
      <c r="X186" s="6">
        <f t="shared" si="96"/>
        <v>-5559.3</v>
      </c>
      <c r="Y186" s="2"/>
      <c r="Z186" s="7">
        <f t="shared" si="97"/>
        <v>-0.96767624020887733</v>
      </c>
    </row>
    <row r="187" spans="1:26" s="24" customFormat="1" hidden="1" outlineLevel="2" x14ac:dyDescent="0.25">
      <c r="A187" s="28"/>
      <c r="B187" s="11" t="str">
        <f>CONCATENATE("          ", "6259", " - ", "ROYALTY &amp; COMMISSIONS")</f>
        <v xml:space="preserve">          6259 - ROYALTY &amp; COMMISSIONS</v>
      </c>
      <c r="C187" s="11"/>
      <c r="D187" s="6">
        <v>4453.09</v>
      </c>
      <c r="E187" s="2"/>
      <c r="F187" s="7">
        <f t="shared" si="90"/>
        <v>4.012781166099829E-2</v>
      </c>
      <c r="G187" s="2"/>
      <c r="H187" s="6">
        <v>1530</v>
      </c>
      <c r="I187" s="2"/>
      <c r="J187" s="7">
        <f t="shared" si="91"/>
        <v>3.8956277307586546E-3</v>
      </c>
      <c r="K187" s="2"/>
      <c r="L187" s="6">
        <f t="shared" si="92"/>
        <v>2923.09</v>
      </c>
      <c r="M187" s="2"/>
      <c r="N187" s="7">
        <f t="shared" si="93"/>
        <v>1.910516339869281</v>
      </c>
      <c r="O187" s="11"/>
      <c r="P187" s="6">
        <v>10158.290000000001</v>
      </c>
      <c r="Q187" s="2"/>
      <c r="R187" s="7">
        <f t="shared" si="94"/>
        <v>4.116719084442849E-3</v>
      </c>
      <c r="S187" s="2"/>
      <c r="T187" s="6">
        <v>6175</v>
      </c>
      <c r="U187" s="2"/>
      <c r="V187" s="7">
        <f t="shared" si="95"/>
        <v>1.3717165160666324E-3</v>
      </c>
      <c r="W187" s="2"/>
      <c r="X187" s="6">
        <f t="shared" si="96"/>
        <v>3983.2900000000009</v>
      </c>
      <c r="Y187" s="2"/>
      <c r="Z187" s="7">
        <f t="shared" si="97"/>
        <v>0.64506720647773297</v>
      </c>
    </row>
    <row r="188" spans="1:26" s="29" customFormat="1" outlineLevel="1" collapsed="1" x14ac:dyDescent="0.25">
      <c r="A188" s="27"/>
      <c r="B188" s="14" t="str">
        <f>CONCATENATE("     ","Services                                          ")</f>
        <v xml:space="preserve">     Services                                          </v>
      </c>
      <c r="C188" s="14"/>
      <c r="D188" s="1">
        <f>SUM(OSRRefD22_19x_0)</f>
        <v>4228.53</v>
      </c>
      <c r="E188" s="1"/>
      <c r="F188" s="5">
        <f t="shared" ref="F188:F193" si="98">IF(D$12=0,0,D188/D$12)</f>
        <v>3.8104250181981748E-2</v>
      </c>
      <c r="G188" s="1"/>
      <c r="H188" s="1">
        <f>SUM(OSRRefH22_19x_0)</f>
        <v>5520</v>
      </c>
      <c r="I188" s="1"/>
      <c r="J188" s="5">
        <f t="shared" ref="J188:J193" si="99">IF(H$12=0,0,H188/H$12)</f>
        <v>1.4054813773717497E-2</v>
      </c>
      <c r="K188" s="1"/>
      <c r="L188" s="1">
        <f t="shared" ref="L188:L193" si="100">+D188-H188</f>
        <v>-1291.4700000000003</v>
      </c>
      <c r="M188" s="1"/>
      <c r="N188" s="5">
        <f t="shared" ref="N188:N193" si="101">IF(H188=0,0,L188/H188)</f>
        <v>-0.23396195652173918</v>
      </c>
      <c r="O188" s="14"/>
      <c r="P188" s="1">
        <f>SUM(OSRRefP22_19x_0)</f>
        <v>16044.96</v>
      </c>
      <c r="Q188" s="1"/>
      <c r="R188" s="5">
        <f t="shared" ref="R188:R193" si="102">IF(P$12=0,0,P188/P$12)</f>
        <v>6.5023338614197991E-3</v>
      </c>
      <c r="S188" s="1"/>
      <c r="T188" s="1">
        <f>SUM(OSRRefT22_19x_0)</f>
        <v>27132</v>
      </c>
      <c r="U188" s="1"/>
      <c r="V188" s="5">
        <f t="shared" ref="V188:V193" si="103">IF(T$12=0,0,T188/T$12)</f>
        <v>6.0271113382866183E-3</v>
      </c>
      <c r="W188" s="1"/>
      <c r="X188" s="1">
        <f t="shared" ref="X188:X193" si="104">+P188-T188</f>
        <v>-11087.04</v>
      </c>
      <c r="Y188" s="1"/>
      <c r="Z188" s="5">
        <f t="shared" ref="Z188:Z193" si="105">IF(T188=0,0,X188/T188)</f>
        <v>-0.40863334807607254</v>
      </c>
    </row>
    <row r="189" spans="1:26" s="24" customFormat="1" hidden="1" outlineLevel="2" x14ac:dyDescent="0.25">
      <c r="A189" s="28"/>
      <c r="B189" s="11" t="str">
        <f>CONCATENATE("          ", "6282", " - ", "JANITORIAL/EXTERMINATOR EXPENS")</f>
        <v xml:space="preserve">          6282 - JANITORIAL/EXTERMINATOR EXPENS</v>
      </c>
      <c r="C189" s="11"/>
      <c r="D189" s="6">
        <v>307.5</v>
      </c>
      <c r="E189" s="2"/>
      <c r="F189" s="7">
        <f t="shared" si="98"/>
        <v>2.7709527734128378E-3</v>
      </c>
      <c r="G189" s="2"/>
      <c r="H189" s="6">
        <v>4000</v>
      </c>
      <c r="I189" s="2"/>
      <c r="J189" s="7">
        <f t="shared" si="99"/>
        <v>1.0184647662114129E-2</v>
      </c>
      <c r="K189" s="2"/>
      <c r="L189" s="6">
        <f t="shared" si="100"/>
        <v>-3692.5</v>
      </c>
      <c r="M189" s="2"/>
      <c r="N189" s="7">
        <f t="shared" si="101"/>
        <v>-0.92312499999999997</v>
      </c>
      <c r="O189" s="11"/>
      <c r="P189" s="6">
        <v>5210.96</v>
      </c>
      <c r="Q189" s="2"/>
      <c r="R189" s="7">
        <f t="shared" si="102"/>
        <v>2.1117785060544942E-3</v>
      </c>
      <c r="S189" s="2"/>
      <c r="T189" s="6">
        <v>20314</v>
      </c>
      <c r="U189" s="2"/>
      <c r="V189" s="7">
        <f t="shared" si="103"/>
        <v>4.5125585922878653E-3</v>
      </c>
      <c r="W189" s="2"/>
      <c r="X189" s="6">
        <f t="shared" si="104"/>
        <v>-15103.04</v>
      </c>
      <c r="Y189" s="2"/>
      <c r="Z189" s="7">
        <f t="shared" si="105"/>
        <v>-0.74347937383085561</v>
      </c>
    </row>
    <row r="190" spans="1:26" s="24" customFormat="1" hidden="1" outlineLevel="2" x14ac:dyDescent="0.25">
      <c r="A190" s="28"/>
      <c r="B190" s="11" t="str">
        <f>CONCATENATE("          ", "6283", " - ", "PLANT SERVICE")</f>
        <v xml:space="preserve">          6283 - PLANT SERVICE</v>
      </c>
      <c r="C190" s="11"/>
      <c r="D190" s="6">
        <v>41.31</v>
      </c>
      <c r="E190" s="2"/>
      <c r="F190" s="7">
        <f t="shared" si="98"/>
        <v>3.7225385063311984E-4</v>
      </c>
      <c r="G190" s="2"/>
      <c r="H190" s="6">
        <v>0</v>
      </c>
      <c r="I190" s="2"/>
      <c r="J190" s="7">
        <f t="shared" si="99"/>
        <v>0</v>
      </c>
      <c r="K190" s="2"/>
      <c r="L190" s="6">
        <f t="shared" si="100"/>
        <v>41.31</v>
      </c>
      <c r="M190" s="2"/>
      <c r="N190" s="7">
        <f t="shared" si="101"/>
        <v>0</v>
      </c>
      <c r="O190" s="11"/>
      <c r="P190" s="6">
        <v>171.31</v>
      </c>
      <c r="Q190" s="2"/>
      <c r="R190" s="7">
        <f t="shared" si="102"/>
        <v>6.9424592756842394E-5</v>
      </c>
      <c r="S190" s="2"/>
      <c r="T190" s="6">
        <v>0</v>
      </c>
      <c r="U190" s="2"/>
      <c r="V190" s="7">
        <f t="shared" si="103"/>
        <v>0</v>
      </c>
      <c r="W190" s="2"/>
      <c r="X190" s="6">
        <f t="shared" si="104"/>
        <v>171.31</v>
      </c>
      <c r="Y190" s="2"/>
      <c r="Z190" s="7">
        <f t="shared" si="105"/>
        <v>0</v>
      </c>
    </row>
    <row r="191" spans="1:26" s="24" customFormat="1" hidden="1" outlineLevel="2" x14ac:dyDescent="0.25">
      <c r="A191" s="28"/>
      <c r="B191" s="11" t="str">
        <f>CONCATENATE("          ", "6284", " - ", "TRASH REMOVAL EXPENSE")</f>
        <v xml:space="preserve">          6284 - TRASH REMOVAL EXPENSE</v>
      </c>
      <c r="C191" s="11"/>
      <c r="D191" s="6">
        <v>289</v>
      </c>
      <c r="E191" s="2"/>
      <c r="F191" s="7">
        <f t="shared" si="98"/>
        <v>2.6042450455814963E-3</v>
      </c>
      <c r="G191" s="2"/>
      <c r="H191" s="6">
        <v>292</v>
      </c>
      <c r="I191" s="2"/>
      <c r="J191" s="7">
        <f t="shared" si="99"/>
        <v>7.434792793343314E-4</v>
      </c>
      <c r="K191" s="2"/>
      <c r="L191" s="6">
        <f t="shared" si="100"/>
        <v>-3</v>
      </c>
      <c r="M191" s="2"/>
      <c r="N191" s="7">
        <f t="shared" si="101"/>
        <v>-1.0273972602739725E-2</v>
      </c>
      <c r="O191" s="11"/>
      <c r="P191" s="6">
        <v>874.3</v>
      </c>
      <c r="Q191" s="2"/>
      <c r="R191" s="7">
        <f t="shared" si="102"/>
        <v>3.5431627720102329E-4</v>
      </c>
      <c r="S191" s="2"/>
      <c r="T191" s="6">
        <v>1278</v>
      </c>
      <c r="U191" s="2"/>
      <c r="V191" s="7">
        <f t="shared" si="103"/>
        <v>2.8389533725233299E-4</v>
      </c>
      <c r="W191" s="2"/>
      <c r="X191" s="6">
        <f t="shared" si="104"/>
        <v>-403.70000000000005</v>
      </c>
      <c r="Y191" s="2"/>
      <c r="Z191" s="7">
        <f t="shared" si="105"/>
        <v>-0.31588419405320817</v>
      </c>
    </row>
    <row r="192" spans="1:26" s="24" customFormat="1" hidden="1" outlineLevel="2" x14ac:dyDescent="0.25">
      <c r="A192" s="28"/>
      <c r="B192" s="11" t="str">
        <f>CONCATENATE("          ", "6285", " - ", "JANITORIAL SERVICES")</f>
        <v xml:space="preserve">          6285 - JANITORIAL SERVICES</v>
      </c>
      <c r="C192" s="11"/>
      <c r="D192" s="6">
        <v>3590.72</v>
      </c>
      <c r="E192" s="2"/>
      <c r="F192" s="7">
        <f t="shared" si="98"/>
        <v>3.235679851235429E-2</v>
      </c>
      <c r="G192" s="2"/>
      <c r="H192" s="6">
        <v>1124</v>
      </c>
      <c r="I192" s="2"/>
      <c r="J192" s="7">
        <f t="shared" si="99"/>
        <v>2.8618859930540702E-3</v>
      </c>
      <c r="K192" s="2"/>
      <c r="L192" s="6">
        <f t="shared" si="100"/>
        <v>2466.7199999999998</v>
      </c>
      <c r="M192" s="2"/>
      <c r="N192" s="7">
        <f t="shared" si="101"/>
        <v>2.1945907473309605</v>
      </c>
      <c r="O192" s="11"/>
      <c r="P192" s="6">
        <v>9788.39</v>
      </c>
      <c r="Q192" s="2"/>
      <c r="R192" s="7">
        <f t="shared" si="102"/>
        <v>3.966814485407439E-3</v>
      </c>
      <c r="S192" s="2"/>
      <c r="T192" s="6">
        <v>5059</v>
      </c>
      <c r="U192" s="2"/>
      <c r="V192" s="7">
        <f t="shared" si="103"/>
        <v>1.1238079117054402E-3</v>
      </c>
      <c r="W192" s="2"/>
      <c r="X192" s="6">
        <f t="shared" si="104"/>
        <v>4729.3899999999994</v>
      </c>
      <c r="Y192" s="2"/>
      <c r="Z192" s="7">
        <f t="shared" si="105"/>
        <v>0.93484680766949979</v>
      </c>
    </row>
    <row r="193" spans="1:26" s="24" customFormat="1" hidden="1" outlineLevel="2" x14ac:dyDescent="0.25">
      <c r="A193" s="28"/>
      <c r="B193" s="11" t="str">
        <f>CONCATENATE("          ", "6286", " - ", "LAUNDRY EXPENSE")</f>
        <v xml:space="preserve">          6286 - LAUNDRY EXPENSE</v>
      </c>
      <c r="C193" s="11"/>
      <c r="D193" s="6"/>
      <c r="E193" s="2"/>
      <c r="F193" s="7">
        <f t="shared" si="98"/>
        <v>0</v>
      </c>
      <c r="G193" s="2"/>
      <c r="H193" s="6">
        <v>104</v>
      </c>
      <c r="I193" s="2"/>
      <c r="J193" s="7">
        <f t="shared" si="99"/>
        <v>2.6480083921496736E-4</v>
      </c>
      <c r="K193" s="2"/>
      <c r="L193" s="6">
        <f t="shared" si="100"/>
        <v>-104</v>
      </c>
      <c r="M193" s="2"/>
      <c r="N193" s="7">
        <f t="shared" si="101"/>
        <v>-1</v>
      </c>
      <c r="O193" s="11"/>
      <c r="P193" s="6"/>
      <c r="Q193" s="2"/>
      <c r="R193" s="7">
        <f t="shared" si="102"/>
        <v>0</v>
      </c>
      <c r="S193" s="2"/>
      <c r="T193" s="6">
        <v>481</v>
      </c>
      <c r="U193" s="2"/>
      <c r="V193" s="7">
        <f t="shared" si="103"/>
        <v>1.0684949704097978E-4</v>
      </c>
      <c r="W193" s="2"/>
      <c r="X193" s="6">
        <f t="shared" si="104"/>
        <v>-481</v>
      </c>
      <c r="Y193" s="2"/>
      <c r="Z193" s="7">
        <f t="shared" si="105"/>
        <v>-1</v>
      </c>
    </row>
    <row r="194" spans="1:26" s="29" customFormat="1" outlineLevel="1" collapsed="1" x14ac:dyDescent="0.25">
      <c r="A194" s="27"/>
      <c r="B194" s="14" t="str">
        <f>CONCATENATE("     ","Subscriptions &amp; Dues                              ")</f>
        <v xml:space="preserve">     Subscriptions &amp; Dues                              </v>
      </c>
      <c r="C194" s="14"/>
      <c r="D194" s="1">
        <f>SUM(OSRRefD22_20x_0)</f>
        <v>-274.08</v>
      </c>
      <c r="E194" s="1"/>
      <c r="F194" s="5">
        <f t="shared" ref="F194:F196" si="106">IF(D$12=0,0,D194/D$12)</f>
        <v>-2.4697975158926525E-3</v>
      </c>
      <c r="G194" s="1"/>
      <c r="H194" s="1">
        <f>SUM(OSRRefH22_20x_0)</f>
        <v>1276</v>
      </c>
      <c r="I194" s="1"/>
      <c r="J194" s="5">
        <f t="shared" ref="J194:J196" si="107">IF(H$12=0,0,H194/H$12)</f>
        <v>3.2489026042144074E-3</v>
      </c>
      <c r="K194" s="1"/>
      <c r="L194" s="1">
        <f t="shared" ref="L194:L196" si="108">+D194-H194</f>
        <v>-1550.08</v>
      </c>
      <c r="M194" s="1"/>
      <c r="N194" s="5">
        <f t="shared" ref="N194:N196" si="109">IF(H194=0,0,L194/H194)</f>
        <v>-1.2147962382445141</v>
      </c>
      <c r="O194" s="14"/>
      <c r="P194" s="1">
        <f>SUM(OSRRefP22_20x_0)</f>
        <v>1375.01</v>
      </c>
      <c r="Q194" s="1"/>
      <c r="R194" s="5">
        <f t="shared" ref="R194:R196" si="110">IF(P$12=0,0,P194/P$12)</f>
        <v>5.5723255669012819E-4</v>
      </c>
      <c r="S194" s="1"/>
      <c r="T194" s="1">
        <f>SUM(OSRRefT22_20x_0)</f>
        <v>7775</v>
      </c>
      <c r="U194" s="1"/>
      <c r="V194" s="5">
        <f t="shared" ref="V194:V196" si="111">IF(T$12=0,0,T194/T$12)</f>
        <v>1.7271410384482699E-3</v>
      </c>
      <c r="W194" s="1"/>
      <c r="X194" s="1">
        <f t="shared" ref="X194:X196" si="112">+P194-T194</f>
        <v>-6399.99</v>
      </c>
      <c r="Y194" s="1"/>
      <c r="Z194" s="5">
        <f t="shared" ref="Z194:Z196" si="113">IF(T194=0,0,X194/T194)</f>
        <v>-0.82314983922829577</v>
      </c>
    </row>
    <row r="195" spans="1:26" s="24" customFormat="1" hidden="1" outlineLevel="2" x14ac:dyDescent="0.25">
      <c r="A195" s="28"/>
      <c r="B195" s="11" t="str">
        <f>CONCATENATE("          ", "6258", " - ", "MEMBERSHIP DUES")</f>
        <v xml:space="preserve">          6258 - MEMBERSHIP DUES</v>
      </c>
      <c r="C195" s="11"/>
      <c r="D195" s="6">
        <v>-274.08</v>
      </c>
      <c r="E195" s="2"/>
      <c r="F195" s="7">
        <f t="shared" si="106"/>
        <v>-2.4697975158926525E-3</v>
      </c>
      <c r="G195" s="2"/>
      <c r="H195" s="6">
        <v>1100</v>
      </c>
      <c r="I195" s="2"/>
      <c r="J195" s="7">
        <f t="shared" si="107"/>
        <v>2.8007781070813857E-3</v>
      </c>
      <c r="K195" s="2"/>
      <c r="L195" s="6">
        <f t="shared" si="108"/>
        <v>-1374.08</v>
      </c>
      <c r="M195" s="2"/>
      <c r="N195" s="7">
        <f t="shared" si="109"/>
        <v>-1.2491636363636363</v>
      </c>
      <c r="O195" s="11"/>
      <c r="P195" s="6">
        <v>1149.28</v>
      </c>
      <c r="Q195" s="2"/>
      <c r="R195" s="7">
        <f t="shared" si="110"/>
        <v>4.6575387288298303E-4</v>
      </c>
      <c r="S195" s="2"/>
      <c r="T195" s="6">
        <v>6895</v>
      </c>
      <c r="U195" s="2"/>
      <c r="V195" s="7">
        <f t="shared" si="111"/>
        <v>1.5316575511383692E-3</v>
      </c>
      <c r="W195" s="2"/>
      <c r="X195" s="6">
        <f t="shared" si="112"/>
        <v>-5745.72</v>
      </c>
      <c r="Y195" s="2"/>
      <c r="Z195" s="7">
        <f t="shared" si="113"/>
        <v>-0.83331689630166794</v>
      </c>
    </row>
    <row r="196" spans="1:26" s="24" customFormat="1" hidden="1" outlineLevel="2" x14ac:dyDescent="0.25">
      <c r="A196" s="28"/>
      <c r="B196" s="11" t="str">
        <f>CONCATENATE("          ", "6275", " - ", "SUBSCRIPTIONS")</f>
        <v xml:space="preserve">          6275 - SUBSCRIPTIONS</v>
      </c>
      <c r="C196" s="11"/>
      <c r="D196" s="6"/>
      <c r="E196" s="2"/>
      <c r="F196" s="7">
        <f t="shared" si="106"/>
        <v>0</v>
      </c>
      <c r="G196" s="2"/>
      <c r="H196" s="6">
        <v>176</v>
      </c>
      <c r="I196" s="2"/>
      <c r="J196" s="7">
        <f t="shared" si="107"/>
        <v>4.481244971330217E-4</v>
      </c>
      <c r="K196" s="2"/>
      <c r="L196" s="6">
        <f t="shared" si="108"/>
        <v>-176</v>
      </c>
      <c r="M196" s="2"/>
      <c r="N196" s="7">
        <f t="shared" si="109"/>
        <v>-1</v>
      </c>
      <c r="O196" s="11"/>
      <c r="P196" s="6">
        <v>225.73</v>
      </c>
      <c r="Q196" s="2"/>
      <c r="R196" s="7">
        <f t="shared" si="110"/>
        <v>9.1478683807145125E-5</v>
      </c>
      <c r="S196" s="2"/>
      <c r="T196" s="6">
        <v>880</v>
      </c>
      <c r="U196" s="2"/>
      <c r="V196" s="7">
        <f t="shared" si="111"/>
        <v>1.9548348730990064E-4</v>
      </c>
      <c r="W196" s="2"/>
      <c r="X196" s="6">
        <f t="shared" si="112"/>
        <v>-654.27</v>
      </c>
      <c r="Y196" s="2"/>
      <c r="Z196" s="7">
        <f t="shared" si="113"/>
        <v>-0.74348863636363638</v>
      </c>
    </row>
    <row r="197" spans="1:26" s="29" customFormat="1" outlineLevel="1" collapsed="1" x14ac:dyDescent="0.25">
      <c r="A197" s="27"/>
      <c r="B197" s="14" t="str">
        <f>CONCATENATE("     ","Supplies                                          ")</f>
        <v xml:space="preserve">     Supplies                                          </v>
      </c>
      <c r="C197" s="14"/>
      <c r="D197" s="1">
        <f>SUM(OSRRefD22_21x_0)</f>
        <v>14796.98</v>
      </c>
      <c r="E197" s="1"/>
      <c r="F197" s="5">
        <f t="shared" ref="F197:F206" si="114">IF(D$12=0,0,D197/D$12)</f>
        <v>0.13333896835490827</v>
      </c>
      <c r="G197" s="1"/>
      <c r="H197" s="1">
        <f>SUM(OSRRefH22_21x_0)</f>
        <v>8518</v>
      </c>
      <c r="I197" s="1"/>
      <c r="J197" s="5">
        <f t="shared" ref="J197:J206" si="115">IF(H$12=0,0,H197/H$12)</f>
        <v>2.1688207196472038E-2</v>
      </c>
      <c r="K197" s="1"/>
      <c r="L197" s="1">
        <f t="shared" ref="L197:L206" si="116">+D197-H197</f>
        <v>6278.98</v>
      </c>
      <c r="M197" s="1"/>
      <c r="N197" s="5">
        <f t="shared" ref="N197:N206" si="117">IF(H197=0,0,L197/H197)</f>
        <v>0.73714252171871331</v>
      </c>
      <c r="O197" s="14"/>
      <c r="P197" s="1">
        <f>SUM(OSRRefP22_21x_0)</f>
        <v>72490.009999999995</v>
      </c>
      <c r="Q197" s="1"/>
      <c r="R197" s="5">
        <f t="shared" ref="R197:R206" si="118">IF(P$12=0,0,P197/P$12)</f>
        <v>2.9377090789734585E-2</v>
      </c>
      <c r="S197" s="1"/>
      <c r="T197" s="1">
        <f>SUM(OSRRefT22_21x_0)</f>
        <v>109426</v>
      </c>
      <c r="U197" s="1"/>
      <c r="V197" s="5">
        <f t="shared" ref="V197:V206" si="119">IF(T$12=0,0,T197/T$12)</f>
        <v>2.4307927366333169E-2</v>
      </c>
      <c r="W197" s="1"/>
      <c r="X197" s="1">
        <f t="shared" ref="X197:X206" si="120">+P197-T197</f>
        <v>-36935.990000000005</v>
      </c>
      <c r="Y197" s="1"/>
      <c r="Z197" s="5">
        <f t="shared" ref="Z197:Z206" si="121">IF(T197=0,0,X197/T197)</f>
        <v>-0.33754308847988601</v>
      </c>
    </row>
    <row r="198" spans="1:26" s="24" customFormat="1" hidden="1" outlineLevel="2" x14ac:dyDescent="0.25">
      <c r="A198" s="28"/>
      <c r="B198" s="11" t="str">
        <f>CONCATENATE("          ", "6234", " - ", "EXPENDABLE SUPPLIES &amp; EQUIPMEN")</f>
        <v xml:space="preserve">          6234 - EXPENDABLE SUPPLIES &amp; EQUIPMEN</v>
      </c>
      <c r="C198" s="11"/>
      <c r="D198" s="6">
        <v>-550.67999999999995</v>
      </c>
      <c r="E198" s="2"/>
      <c r="F198" s="7">
        <f t="shared" si="114"/>
        <v>-4.9623033276844928E-3</v>
      </c>
      <c r="G198" s="2"/>
      <c r="H198" s="6">
        <v>178</v>
      </c>
      <c r="I198" s="2"/>
      <c r="J198" s="7">
        <f t="shared" si="115"/>
        <v>4.5321682096407877E-4</v>
      </c>
      <c r="K198" s="2"/>
      <c r="L198" s="6">
        <f t="shared" si="116"/>
        <v>-728.68</v>
      </c>
      <c r="M198" s="2"/>
      <c r="N198" s="7">
        <f t="shared" si="117"/>
        <v>-4.0937078651685388</v>
      </c>
      <c r="O198" s="11"/>
      <c r="P198" s="6">
        <v>-132.66999999999999</v>
      </c>
      <c r="Q198" s="2"/>
      <c r="R198" s="7">
        <f t="shared" si="118"/>
        <v>-5.3765458648358405E-5</v>
      </c>
      <c r="S198" s="2"/>
      <c r="T198" s="6">
        <v>778</v>
      </c>
      <c r="U198" s="2"/>
      <c r="V198" s="7">
        <f t="shared" si="119"/>
        <v>1.7282517400807126E-4</v>
      </c>
      <c r="W198" s="2"/>
      <c r="X198" s="6">
        <f t="shared" si="120"/>
        <v>-910.67</v>
      </c>
      <c r="Y198" s="2"/>
      <c r="Z198" s="7">
        <f t="shared" si="121"/>
        <v>-1.1705269922879178</v>
      </c>
    </row>
    <row r="199" spans="1:26" s="24" customFormat="1" hidden="1" outlineLevel="2" x14ac:dyDescent="0.25">
      <c r="A199" s="28"/>
      <c r="B199" s="11" t="str">
        <f>CONCATENATE("          ", "6235", " - ", "COVID-19 EXPENSES")</f>
        <v xml:space="preserve">          6235 - COVID-19 EXPENSES</v>
      </c>
      <c r="C199" s="11"/>
      <c r="D199" s="6">
        <v>2556.84</v>
      </c>
      <c r="E199" s="2"/>
      <c r="F199" s="7">
        <f t="shared" si="114"/>
        <v>2.3040269558285791E-2</v>
      </c>
      <c r="G199" s="2"/>
      <c r="H199" s="6">
        <v>900</v>
      </c>
      <c r="I199" s="2"/>
      <c r="J199" s="7">
        <f t="shared" si="115"/>
        <v>2.2915457239756792E-3</v>
      </c>
      <c r="K199" s="2"/>
      <c r="L199" s="6">
        <f t="shared" si="116"/>
        <v>1656.8400000000001</v>
      </c>
      <c r="M199" s="2"/>
      <c r="N199" s="7">
        <f t="shared" si="117"/>
        <v>1.8409333333333335</v>
      </c>
      <c r="O199" s="11"/>
      <c r="P199" s="6">
        <v>28663.9</v>
      </c>
      <c r="Q199" s="2"/>
      <c r="R199" s="7">
        <f t="shared" si="118"/>
        <v>1.1616248813979655E-2</v>
      </c>
      <c r="S199" s="2"/>
      <c r="T199" s="6">
        <v>64600</v>
      </c>
      <c r="U199" s="2"/>
      <c r="V199" s="7">
        <f t="shared" si="119"/>
        <v>1.4350265091158615E-2</v>
      </c>
      <c r="W199" s="2"/>
      <c r="X199" s="6">
        <f t="shared" si="120"/>
        <v>-35936.1</v>
      </c>
      <c r="Y199" s="2"/>
      <c r="Z199" s="7">
        <f t="shared" si="121"/>
        <v>-0.55628637770897826</v>
      </c>
    </row>
    <row r="200" spans="1:26" s="24" customFormat="1" hidden="1" outlineLevel="2" x14ac:dyDescent="0.25">
      <c r="A200" s="28"/>
      <c r="B200" s="11" t="str">
        <f>CONCATENATE("          ", "6237", " - ", "JANITORIAL SUPPLIES")</f>
        <v xml:space="preserve">          6237 - JANITORIAL SUPPLIES</v>
      </c>
      <c r="C200" s="11"/>
      <c r="D200" s="6">
        <v>246.99</v>
      </c>
      <c r="E200" s="2"/>
      <c r="F200" s="7">
        <f t="shared" si="114"/>
        <v>2.22568333497638E-3</v>
      </c>
      <c r="G200" s="2"/>
      <c r="H200" s="6">
        <v>276</v>
      </c>
      <c r="I200" s="2"/>
      <c r="J200" s="7">
        <f t="shared" si="115"/>
        <v>7.0274068868587491E-4</v>
      </c>
      <c r="K200" s="2"/>
      <c r="L200" s="6">
        <f t="shared" si="116"/>
        <v>-29.009999999999991</v>
      </c>
      <c r="M200" s="2"/>
      <c r="N200" s="7">
        <f t="shared" si="117"/>
        <v>-0.10510869565217389</v>
      </c>
      <c r="O200" s="11"/>
      <c r="P200" s="6">
        <v>1812.92</v>
      </c>
      <c r="Q200" s="2"/>
      <c r="R200" s="7">
        <f t="shared" si="118"/>
        <v>7.3469869068200756E-4</v>
      </c>
      <c r="S200" s="2"/>
      <c r="T200" s="6">
        <v>1604</v>
      </c>
      <c r="U200" s="2"/>
      <c r="V200" s="7">
        <f t="shared" si="119"/>
        <v>3.5631308368759161E-4</v>
      </c>
      <c r="W200" s="2"/>
      <c r="X200" s="6">
        <f t="shared" si="120"/>
        <v>208.92000000000007</v>
      </c>
      <c r="Y200" s="2"/>
      <c r="Z200" s="7">
        <f t="shared" si="121"/>
        <v>0.13024937655860352</v>
      </c>
    </row>
    <row r="201" spans="1:26" s="24" customFormat="1" hidden="1" outlineLevel="2" x14ac:dyDescent="0.25">
      <c r="A201" s="28"/>
      <c r="B201" s="11" t="str">
        <f>CONCATENATE("          ", "6241", " - ", "OFFICE EXPENSE")</f>
        <v xml:space="preserve">          6241 - OFFICE EXPENSE</v>
      </c>
      <c r="C201" s="11"/>
      <c r="D201" s="6">
        <v>669.18</v>
      </c>
      <c r="E201" s="2"/>
      <c r="F201" s="7">
        <f t="shared" si="114"/>
        <v>6.0301339086582207E-3</v>
      </c>
      <c r="G201" s="2"/>
      <c r="H201" s="6">
        <v>425</v>
      </c>
      <c r="I201" s="2"/>
      <c r="J201" s="7">
        <f t="shared" si="115"/>
        <v>1.0821188140996262E-3</v>
      </c>
      <c r="K201" s="2"/>
      <c r="L201" s="6">
        <f t="shared" si="116"/>
        <v>244.17999999999995</v>
      </c>
      <c r="M201" s="2"/>
      <c r="N201" s="7">
        <f t="shared" si="117"/>
        <v>0.57454117647058811</v>
      </c>
      <c r="O201" s="11"/>
      <c r="P201" s="6">
        <v>8610.16</v>
      </c>
      <c r="Q201" s="2"/>
      <c r="R201" s="7">
        <f t="shared" si="118"/>
        <v>3.4893284196559106E-3</v>
      </c>
      <c r="S201" s="2"/>
      <c r="T201" s="6">
        <v>2425</v>
      </c>
      <c r="U201" s="2"/>
      <c r="V201" s="7">
        <f t="shared" si="119"/>
        <v>5.3869029173466939E-4</v>
      </c>
      <c r="W201" s="2"/>
      <c r="X201" s="6">
        <f t="shared" si="120"/>
        <v>6185.16</v>
      </c>
      <c r="Y201" s="2"/>
      <c r="Z201" s="7">
        <f t="shared" si="121"/>
        <v>2.5505814432989689</v>
      </c>
    </row>
    <row r="202" spans="1:26" s="24" customFormat="1" hidden="1" outlineLevel="2" x14ac:dyDescent="0.25">
      <c r="A202" s="28"/>
      <c r="B202" s="11" t="str">
        <f>CONCATENATE("          ", "6243", " - ", "PAPER SUPPLIES")</f>
        <v xml:space="preserve">          6243 - PAPER SUPPLIES</v>
      </c>
      <c r="C202" s="11"/>
      <c r="D202" s="6">
        <v>1108.5999999999999</v>
      </c>
      <c r="E202" s="2"/>
      <c r="F202" s="7">
        <f t="shared" si="114"/>
        <v>9.9898479499364937E-3</v>
      </c>
      <c r="G202" s="2"/>
      <c r="H202" s="6">
        <v>1296</v>
      </c>
      <c r="I202" s="2"/>
      <c r="J202" s="7">
        <f t="shared" si="115"/>
        <v>3.2998258425249779E-3</v>
      </c>
      <c r="K202" s="2"/>
      <c r="L202" s="6">
        <f t="shared" si="116"/>
        <v>-187.40000000000009</v>
      </c>
      <c r="M202" s="2"/>
      <c r="N202" s="7">
        <f t="shared" si="117"/>
        <v>-0.14459876543209885</v>
      </c>
      <c r="O202" s="11"/>
      <c r="P202" s="6">
        <v>4682.3</v>
      </c>
      <c r="Q202" s="2"/>
      <c r="R202" s="7">
        <f t="shared" si="118"/>
        <v>1.8975352907907486E-3</v>
      </c>
      <c r="S202" s="2"/>
      <c r="T202" s="6">
        <v>6026</v>
      </c>
      <c r="U202" s="2"/>
      <c r="V202" s="7">
        <f t="shared" si="119"/>
        <v>1.3386176074198424E-3</v>
      </c>
      <c r="W202" s="2"/>
      <c r="X202" s="6">
        <f t="shared" si="120"/>
        <v>-1343.6999999999998</v>
      </c>
      <c r="Y202" s="2"/>
      <c r="Z202" s="7">
        <f t="shared" si="121"/>
        <v>-0.22298373713906403</v>
      </c>
    </row>
    <row r="203" spans="1:26" s="24" customFormat="1" hidden="1" outlineLevel="2" x14ac:dyDescent="0.25">
      <c r="A203" s="28"/>
      <c r="B203" s="11" t="str">
        <f>CONCATENATE("          ", "6244", " - ", "SAFETY SUPPLY EXPENSE")</f>
        <v xml:space="preserve">          6244 - SAFETY SUPPLY EXPENSE</v>
      </c>
      <c r="C203" s="11"/>
      <c r="D203" s="6"/>
      <c r="E203" s="2"/>
      <c r="F203" s="7">
        <f t="shared" si="114"/>
        <v>0</v>
      </c>
      <c r="G203" s="2"/>
      <c r="H203" s="6">
        <v>0</v>
      </c>
      <c r="I203" s="2"/>
      <c r="J203" s="7">
        <f t="shared" si="115"/>
        <v>0</v>
      </c>
      <c r="K203" s="2"/>
      <c r="L203" s="6">
        <f t="shared" si="116"/>
        <v>0</v>
      </c>
      <c r="M203" s="2"/>
      <c r="N203" s="7">
        <f t="shared" si="117"/>
        <v>0</v>
      </c>
      <c r="O203" s="11"/>
      <c r="P203" s="6"/>
      <c r="Q203" s="2"/>
      <c r="R203" s="7">
        <f t="shared" si="118"/>
        <v>0</v>
      </c>
      <c r="S203" s="2"/>
      <c r="T203" s="6">
        <v>50</v>
      </c>
      <c r="U203" s="2"/>
      <c r="V203" s="7">
        <f t="shared" si="119"/>
        <v>1.1107016324426173E-5</v>
      </c>
      <c r="W203" s="2"/>
      <c r="X203" s="6">
        <f t="shared" si="120"/>
        <v>-50</v>
      </c>
      <c r="Y203" s="2"/>
      <c r="Z203" s="7">
        <f t="shared" si="121"/>
        <v>-1</v>
      </c>
    </row>
    <row r="204" spans="1:26" s="24" customFormat="1" hidden="1" outlineLevel="2" x14ac:dyDescent="0.25">
      <c r="A204" s="28"/>
      <c r="B204" s="11" t="str">
        <f>CONCATENATE("          ", "6245", " - ", "PRINTING")</f>
        <v xml:space="preserve">          6245 - PRINTING</v>
      </c>
      <c r="C204" s="11"/>
      <c r="D204" s="6">
        <v>93.72</v>
      </c>
      <c r="E204" s="2"/>
      <c r="F204" s="7">
        <f t="shared" si="114"/>
        <v>8.4453233796504446E-4</v>
      </c>
      <c r="G204" s="2"/>
      <c r="H204" s="6">
        <v>350</v>
      </c>
      <c r="I204" s="2"/>
      <c r="J204" s="7">
        <f t="shared" si="115"/>
        <v>8.9115667043498633E-4</v>
      </c>
      <c r="K204" s="2"/>
      <c r="L204" s="6">
        <f t="shared" si="116"/>
        <v>-256.27999999999997</v>
      </c>
      <c r="M204" s="2"/>
      <c r="N204" s="7">
        <f t="shared" si="117"/>
        <v>-0.73222857142857134</v>
      </c>
      <c r="O204" s="11"/>
      <c r="P204" s="6">
        <v>508.27</v>
      </c>
      <c r="Q204" s="2"/>
      <c r="R204" s="7">
        <f t="shared" si="118"/>
        <v>2.0598002311902563E-4</v>
      </c>
      <c r="S204" s="2"/>
      <c r="T204" s="6">
        <v>2150</v>
      </c>
      <c r="U204" s="2"/>
      <c r="V204" s="7">
        <f t="shared" si="119"/>
        <v>4.7760170195032542E-4</v>
      </c>
      <c r="W204" s="2"/>
      <c r="X204" s="6">
        <f t="shared" si="120"/>
        <v>-1641.73</v>
      </c>
      <c r="Y204" s="2"/>
      <c r="Z204" s="7">
        <f t="shared" si="121"/>
        <v>-0.76359534883720936</v>
      </c>
    </row>
    <row r="205" spans="1:26" s="24" customFormat="1" hidden="1" outlineLevel="2" x14ac:dyDescent="0.25">
      <c r="A205" s="28"/>
      <c r="B205" s="11" t="str">
        <f>CONCATENATE("          ", "6247", " - ", "STORE SUPPLIES")</f>
        <v xml:space="preserve">          6247 - STORE SUPPLIES</v>
      </c>
      <c r="C205" s="11"/>
      <c r="D205" s="6">
        <v>10672.33</v>
      </c>
      <c r="E205" s="2"/>
      <c r="F205" s="7">
        <f t="shared" si="114"/>
        <v>9.6170804592770845E-2</v>
      </c>
      <c r="G205" s="2"/>
      <c r="H205" s="6">
        <v>3593</v>
      </c>
      <c r="I205" s="2"/>
      <c r="J205" s="7">
        <f t="shared" si="115"/>
        <v>9.1483597624940158E-3</v>
      </c>
      <c r="K205" s="2"/>
      <c r="L205" s="6">
        <f t="shared" si="116"/>
        <v>7079.33</v>
      </c>
      <c r="M205" s="2"/>
      <c r="N205" s="7">
        <f t="shared" si="117"/>
        <v>1.9703117172279432</v>
      </c>
      <c r="O205" s="11"/>
      <c r="P205" s="6">
        <v>28345.129999999997</v>
      </c>
      <c r="Q205" s="2"/>
      <c r="R205" s="7">
        <f t="shared" si="118"/>
        <v>1.14870650101556E-2</v>
      </c>
      <c r="S205" s="2"/>
      <c r="T205" s="6">
        <v>24093</v>
      </c>
      <c r="U205" s="2"/>
      <c r="V205" s="7">
        <f t="shared" si="119"/>
        <v>5.3520268860879957E-3</v>
      </c>
      <c r="W205" s="2"/>
      <c r="X205" s="6">
        <f t="shared" si="120"/>
        <v>4252.1299999999974</v>
      </c>
      <c r="Y205" s="2"/>
      <c r="Z205" s="7">
        <f t="shared" si="121"/>
        <v>0.17648819159091841</v>
      </c>
    </row>
    <row r="206" spans="1:26" s="24" customFormat="1" hidden="1" outlineLevel="2" x14ac:dyDescent="0.25">
      <c r="A206" s="28"/>
      <c r="B206" s="11" t="str">
        <f>CONCATENATE("          ", "6248", " - ", "UNIFORMS")</f>
        <v xml:space="preserve">          6248 - UNIFORMS</v>
      </c>
      <c r="C206" s="11"/>
      <c r="D206" s="6"/>
      <c r="E206" s="2"/>
      <c r="F206" s="7">
        <f t="shared" si="114"/>
        <v>0</v>
      </c>
      <c r="G206" s="2"/>
      <c r="H206" s="6">
        <v>1500</v>
      </c>
      <c r="I206" s="2"/>
      <c r="J206" s="7">
        <f t="shared" si="115"/>
        <v>3.8192428732927984E-3</v>
      </c>
      <c r="K206" s="2"/>
      <c r="L206" s="6">
        <f t="shared" si="116"/>
        <v>-1500</v>
      </c>
      <c r="M206" s="2"/>
      <c r="N206" s="7">
        <f t="shared" si="117"/>
        <v>-1</v>
      </c>
      <c r="O206" s="11"/>
      <c r="P206" s="6"/>
      <c r="Q206" s="2"/>
      <c r="R206" s="7">
        <f t="shared" si="118"/>
        <v>0</v>
      </c>
      <c r="S206" s="2"/>
      <c r="T206" s="6">
        <v>7700</v>
      </c>
      <c r="U206" s="2"/>
      <c r="V206" s="7">
        <f t="shared" si="119"/>
        <v>1.7104805139616305E-3</v>
      </c>
      <c r="W206" s="2"/>
      <c r="X206" s="6">
        <f t="shared" si="120"/>
        <v>-7700</v>
      </c>
      <c r="Y206" s="2"/>
      <c r="Z206" s="7">
        <f t="shared" si="121"/>
        <v>-1</v>
      </c>
    </row>
    <row r="207" spans="1:26" s="29" customFormat="1" outlineLevel="1" collapsed="1" x14ac:dyDescent="0.25">
      <c r="A207" s="27"/>
      <c r="B207" s="14" t="str">
        <f>CONCATENATE("     ","Telephone/Data Lines                              ")</f>
        <v xml:space="preserve">     Telephone/Data Lines                              </v>
      </c>
      <c r="C207" s="14"/>
      <c r="D207" s="1">
        <f>SUM(OSRRefD22_22x_0)</f>
        <v>2804.0299999999997</v>
      </c>
      <c r="E207" s="1"/>
      <c r="F207" s="5">
        <f t="shared" ref="F207:F209" si="122">IF(D$12=0,0,D207/D$12)</f>
        <v>2.5267755138968454E-2</v>
      </c>
      <c r="G207" s="1"/>
      <c r="H207" s="1">
        <f>SUM(OSRRefH22_22x_0)</f>
        <v>2530</v>
      </c>
      <c r="I207" s="1"/>
      <c r="J207" s="5">
        <f t="shared" ref="J207:J209" si="123">IF(H$12=0,0,H207/H$12)</f>
        <v>6.4417896462871868E-3</v>
      </c>
      <c r="K207" s="1"/>
      <c r="L207" s="1">
        <f t="shared" ref="L207:L209" si="124">+D207-H207</f>
        <v>274.02999999999975</v>
      </c>
      <c r="M207" s="1"/>
      <c r="N207" s="5">
        <f t="shared" ref="N207:N209" si="125">IF(H207=0,0,L207/H207)</f>
        <v>0.10831225296442677</v>
      </c>
      <c r="O207" s="14"/>
      <c r="P207" s="1">
        <f>SUM(OSRRefP22_22x_0)</f>
        <v>15441.39</v>
      </c>
      <c r="Q207" s="1"/>
      <c r="R207" s="5">
        <f t="shared" ref="R207:R209" si="126">IF(P$12=0,0,P207/P$12)</f>
        <v>6.2577328372516398E-3</v>
      </c>
      <c r="S207" s="1"/>
      <c r="T207" s="1">
        <f>SUM(OSRRefT22_22x_0)</f>
        <v>14445</v>
      </c>
      <c r="U207" s="1"/>
      <c r="V207" s="5">
        <f t="shared" ref="V207:V209" si="127">IF(T$12=0,0,T207/T$12)</f>
        <v>3.2088170161267211E-3</v>
      </c>
      <c r="W207" s="1"/>
      <c r="X207" s="1">
        <f t="shared" ref="X207:X209" si="128">+P207-T207</f>
        <v>996.38999999999942</v>
      </c>
      <c r="Y207" s="1"/>
      <c r="Z207" s="5">
        <f t="shared" ref="Z207:Z209" si="129">IF(T207=0,0,X207/T207)</f>
        <v>6.8978193146417399E-2</v>
      </c>
    </row>
    <row r="208" spans="1:26" s="24" customFormat="1" hidden="1" outlineLevel="2" x14ac:dyDescent="0.25">
      <c r="A208" s="28"/>
      <c r="B208" s="11" t="str">
        <f>CONCATENATE("          ", "6303", " - ", "DATA PHONE LINES")</f>
        <v xml:space="preserve">          6303 - DATA PHONE LINES</v>
      </c>
      <c r="C208" s="11"/>
      <c r="D208" s="6">
        <v>885</v>
      </c>
      <c r="E208" s="2"/>
      <c r="F208" s="7">
        <f t="shared" si="122"/>
        <v>7.9749372503101195E-3</v>
      </c>
      <c r="G208" s="2"/>
      <c r="H208" s="6">
        <v>865</v>
      </c>
      <c r="I208" s="2"/>
      <c r="J208" s="7">
        <f t="shared" si="123"/>
        <v>2.2024300569321803E-3</v>
      </c>
      <c r="K208" s="2"/>
      <c r="L208" s="6">
        <f t="shared" si="124"/>
        <v>20</v>
      </c>
      <c r="M208" s="2"/>
      <c r="N208" s="7">
        <f t="shared" si="125"/>
        <v>2.3121387283236993E-2</v>
      </c>
      <c r="O208" s="11"/>
      <c r="P208" s="6">
        <v>2065</v>
      </c>
      <c r="Q208" s="2"/>
      <c r="R208" s="7">
        <f t="shared" si="126"/>
        <v>8.3685589891354577E-4</v>
      </c>
      <c r="S208" s="2"/>
      <c r="T208" s="6">
        <v>4320</v>
      </c>
      <c r="U208" s="2"/>
      <c r="V208" s="7">
        <f t="shared" si="127"/>
        <v>9.5964621043042133E-4</v>
      </c>
      <c r="W208" s="2"/>
      <c r="X208" s="6">
        <f t="shared" si="128"/>
        <v>-2255</v>
      </c>
      <c r="Y208" s="2"/>
      <c r="Z208" s="7">
        <f t="shared" si="129"/>
        <v>-0.5219907407407407</v>
      </c>
    </row>
    <row r="209" spans="1:26" s="24" customFormat="1" hidden="1" outlineLevel="2" x14ac:dyDescent="0.25">
      <c r="A209" s="28"/>
      <c r="B209" s="11" t="str">
        <f>CONCATENATE("          ", "6309", " - ", "TELEPHONE")</f>
        <v xml:space="preserve">          6309 - TELEPHONE</v>
      </c>
      <c r="C209" s="11"/>
      <c r="D209" s="6">
        <v>1919.03</v>
      </c>
      <c r="E209" s="2"/>
      <c r="F209" s="7">
        <f t="shared" si="122"/>
        <v>1.7292817888658336E-2</v>
      </c>
      <c r="G209" s="2"/>
      <c r="H209" s="6">
        <v>1665</v>
      </c>
      <c r="I209" s="2"/>
      <c r="J209" s="7">
        <f t="shared" si="123"/>
        <v>4.2393595893550065E-3</v>
      </c>
      <c r="K209" s="2"/>
      <c r="L209" s="6">
        <f t="shared" si="124"/>
        <v>254.02999999999997</v>
      </c>
      <c r="M209" s="2"/>
      <c r="N209" s="7">
        <f t="shared" si="125"/>
        <v>0.15257057057057055</v>
      </c>
      <c r="O209" s="11"/>
      <c r="P209" s="6">
        <v>13376.39</v>
      </c>
      <c r="Q209" s="2"/>
      <c r="R209" s="7">
        <f t="shared" si="126"/>
        <v>5.4208769383380945E-3</v>
      </c>
      <c r="S209" s="2"/>
      <c r="T209" s="6">
        <v>10125</v>
      </c>
      <c r="U209" s="2"/>
      <c r="V209" s="7">
        <f t="shared" si="127"/>
        <v>2.2491708056963E-3</v>
      </c>
      <c r="W209" s="2"/>
      <c r="X209" s="6">
        <f t="shared" si="128"/>
        <v>3251.3899999999994</v>
      </c>
      <c r="Y209" s="2"/>
      <c r="Z209" s="7">
        <f t="shared" si="129"/>
        <v>0.32112493827160488</v>
      </c>
    </row>
    <row r="210" spans="1:26" s="29" customFormat="1" outlineLevel="1" collapsed="1" x14ac:dyDescent="0.25">
      <c r="A210" s="27"/>
      <c r="B210" s="14" t="str">
        <f>CONCATENATE("     ","Training                                          ")</f>
        <v xml:space="preserve">     Training                                          </v>
      </c>
      <c r="C210" s="14"/>
      <c r="D210" s="1">
        <f>SUM(OSRRefD22_23x_0)</f>
        <v>0</v>
      </c>
      <c r="E210" s="1"/>
      <c r="F210" s="5">
        <f t="shared" ref="F210:F215" si="130">IF(D$12=0,0,D210/D$12)</f>
        <v>0</v>
      </c>
      <c r="G210" s="1"/>
      <c r="H210" s="1">
        <f>SUM(OSRRefH22_23x_0)</f>
        <v>750</v>
      </c>
      <c r="I210" s="1"/>
      <c r="J210" s="5">
        <f t="shared" ref="J210:J215" si="131">IF(H$12=0,0,H210/H$12)</f>
        <v>1.9096214366463992E-3</v>
      </c>
      <c r="K210" s="1"/>
      <c r="L210" s="1">
        <f t="shared" ref="L210:L215" si="132">+D210-H210</f>
        <v>-750</v>
      </c>
      <c r="M210" s="1"/>
      <c r="N210" s="5">
        <f t="shared" ref="N210:N215" si="133">IF(H210=0,0,L210/H210)</f>
        <v>-1</v>
      </c>
      <c r="O210" s="14"/>
      <c r="P210" s="1">
        <f>SUM(OSRRefP22_23x_0)</f>
        <v>145.63</v>
      </c>
      <c r="Q210" s="1"/>
      <c r="R210" s="5">
        <f t="shared" ref="R210:R215" si="134">IF(P$12=0,0,P210/P$12)</f>
        <v>5.9017590585365457E-5</v>
      </c>
      <c r="S210" s="1"/>
      <c r="T210" s="1">
        <f>SUM(OSRRefT22_23x_0)</f>
        <v>3430</v>
      </c>
      <c r="U210" s="1"/>
      <c r="V210" s="5">
        <f t="shared" ref="V210:V215" si="135">IF(T$12=0,0,T210/T$12)</f>
        <v>7.619413198556355E-4</v>
      </c>
      <c r="W210" s="1"/>
      <c r="X210" s="1">
        <f t="shared" ref="X210:X215" si="136">+P210-T210</f>
        <v>-3284.37</v>
      </c>
      <c r="Y210" s="1"/>
      <c r="Z210" s="5">
        <f t="shared" ref="Z210:Z215" si="137">IF(T210=0,0,X210/T210)</f>
        <v>-0.95754227405247805</v>
      </c>
    </row>
    <row r="211" spans="1:26" s="24" customFormat="1" hidden="1" outlineLevel="2" x14ac:dyDescent="0.25">
      <c r="A211" s="28"/>
      <c r="B211" s="11" t="str">
        <f>CONCATENATE("          ", "6376", " - ", "TRAINING")</f>
        <v xml:space="preserve">          6376 - TRAINING</v>
      </c>
      <c r="C211" s="11"/>
      <c r="D211" s="6"/>
      <c r="E211" s="2"/>
      <c r="F211" s="7">
        <f t="shared" si="130"/>
        <v>0</v>
      </c>
      <c r="G211" s="2"/>
      <c r="H211" s="6">
        <v>750</v>
      </c>
      <c r="I211" s="2"/>
      <c r="J211" s="7">
        <f t="shared" si="131"/>
        <v>1.9096214366463992E-3</v>
      </c>
      <c r="K211" s="2"/>
      <c r="L211" s="6">
        <f t="shared" si="132"/>
        <v>-750</v>
      </c>
      <c r="M211" s="2"/>
      <c r="N211" s="7">
        <f t="shared" si="133"/>
        <v>-1</v>
      </c>
      <c r="O211" s="11"/>
      <c r="P211" s="6">
        <v>145.63</v>
      </c>
      <c r="Q211" s="2"/>
      <c r="R211" s="7">
        <f t="shared" si="134"/>
        <v>5.9017590585365457E-5</v>
      </c>
      <c r="S211" s="2"/>
      <c r="T211" s="6">
        <v>3430</v>
      </c>
      <c r="U211" s="2"/>
      <c r="V211" s="7">
        <f t="shared" si="135"/>
        <v>7.619413198556355E-4</v>
      </c>
      <c r="W211" s="2"/>
      <c r="X211" s="6">
        <f t="shared" si="136"/>
        <v>-3284.37</v>
      </c>
      <c r="Y211" s="2"/>
      <c r="Z211" s="7">
        <f t="shared" si="137"/>
        <v>-0.95754227405247805</v>
      </c>
    </row>
    <row r="212" spans="1:26" s="29" customFormat="1" outlineLevel="1" collapsed="1" x14ac:dyDescent="0.25">
      <c r="A212" s="27"/>
      <c r="B212" s="14" t="str">
        <f>CONCATENATE("     ","Travel                                            ")</f>
        <v xml:space="preserve">     Travel                                            </v>
      </c>
      <c r="C212" s="14"/>
      <c r="D212" s="1">
        <f>SUM(OSRRefD22_24x_0)</f>
        <v>299</v>
      </c>
      <c r="E212" s="1"/>
      <c r="F212" s="5">
        <f t="shared" si="130"/>
        <v>2.6943573308957349E-3</v>
      </c>
      <c r="G212" s="1"/>
      <c r="H212" s="1">
        <f>SUM(OSRRefH22_24x_0)</f>
        <v>50</v>
      </c>
      <c r="I212" s="1"/>
      <c r="J212" s="5">
        <f t="shared" si="131"/>
        <v>1.2730809577642661E-4</v>
      </c>
      <c r="K212" s="1"/>
      <c r="L212" s="1">
        <f t="shared" si="132"/>
        <v>249</v>
      </c>
      <c r="M212" s="1"/>
      <c r="N212" s="5">
        <f t="shared" si="133"/>
        <v>4.9800000000000004</v>
      </c>
      <c r="O212" s="14"/>
      <c r="P212" s="1">
        <f>SUM(OSRRefP22_24x_0)</f>
        <v>680.93</v>
      </c>
      <c r="Q212" s="1"/>
      <c r="R212" s="5">
        <f t="shared" si="134"/>
        <v>2.7595171295263955E-4</v>
      </c>
      <c r="S212" s="1"/>
      <c r="T212" s="1">
        <f>SUM(OSRRefT22_24x_0)</f>
        <v>1750</v>
      </c>
      <c r="U212" s="1"/>
      <c r="V212" s="5">
        <f t="shared" si="135"/>
        <v>3.8874557135491604E-4</v>
      </c>
      <c r="W212" s="1"/>
      <c r="X212" s="1">
        <f t="shared" si="136"/>
        <v>-1069.0700000000002</v>
      </c>
      <c r="Y212" s="1"/>
      <c r="Z212" s="5">
        <f t="shared" si="137"/>
        <v>-0.61089714285714292</v>
      </c>
    </row>
    <row r="213" spans="1:26" s="24" customFormat="1" hidden="1" outlineLevel="2" x14ac:dyDescent="0.25">
      <c r="A213" s="28"/>
      <c r="B213" s="11" t="str">
        <f>CONCATENATE("          ", "6292", " - ", "TRAVEL/CONFERENCE")</f>
        <v xml:space="preserve">          6292 - TRAVEL/CONFERENCE</v>
      </c>
      <c r="C213" s="11"/>
      <c r="D213" s="6">
        <v>299</v>
      </c>
      <c r="E213" s="2"/>
      <c r="F213" s="7">
        <f t="shared" si="130"/>
        <v>2.6943573308957349E-3</v>
      </c>
      <c r="G213" s="2"/>
      <c r="H213" s="6">
        <v>0</v>
      </c>
      <c r="I213" s="2"/>
      <c r="J213" s="7">
        <f t="shared" si="131"/>
        <v>0</v>
      </c>
      <c r="K213" s="2"/>
      <c r="L213" s="6">
        <f t="shared" si="132"/>
        <v>299</v>
      </c>
      <c r="M213" s="2"/>
      <c r="N213" s="7">
        <f t="shared" si="133"/>
        <v>0</v>
      </c>
      <c r="O213" s="11"/>
      <c r="P213" s="6">
        <v>299.16000000000003</v>
      </c>
      <c r="Q213" s="2"/>
      <c r="R213" s="7">
        <f t="shared" si="134"/>
        <v>1.2123671221257936E-4</v>
      </c>
      <c r="S213" s="2"/>
      <c r="T213" s="6">
        <v>1500</v>
      </c>
      <c r="U213" s="2"/>
      <c r="V213" s="7">
        <f t="shared" si="135"/>
        <v>3.3321048973278516E-4</v>
      </c>
      <c r="W213" s="2"/>
      <c r="X213" s="6">
        <f t="shared" si="136"/>
        <v>-1200.8399999999999</v>
      </c>
      <c r="Y213" s="2"/>
      <c r="Z213" s="7">
        <f t="shared" si="137"/>
        <v>-0.80055999999999994</v>
      </c>
    </row>
    <row r="214" spans="1:26" s="24" customFormat="1" hidden="1" outlineLevel="2" x14ac:dyDescent="0.25">
      <c r="A214" s="28"/>
      <c r="B214" s="11" t="str">
        <f>CONCATENATE("          ", "6294", " - ", "TRAVEL OPERATIONAL")</f>
        <v xml:space="preserve">          6294 - TRAVEL OPERATIONAL</v>
      </c>
      <c r="C214" s="11"/>
      <c r="D214" s="6"/>
      <c r="E214" s="2"/>
      <c r="F214" s="7">
        <f t="shared" si="130"/>
        <v>0</v>
      </c>
      <c r="G214" s="2"/>
      <c r="H214" s="6">
        <v>25</v>
      </c>
      <c r="I214" s="2"/>
      <c r="J214" s="7">
        <f t="shared" si="131"/>
        <v>6.3654047888213303E-5</v>
      </c>
      <c r="K214" s="2"/>
      <c r="L214" s="6">
        <f t="shared" si="132"/>
        <v>-25</v>
      </c>
      <c r="M214" s="2"/>
      <c r="N214" s="7">
        <f t="shared" si="133"/>
        <v>-1</v>
      </c>
      <c r="O214" s="11"/>
      <c r="P214" s="6">
        <v>321.88</v>
      </c>
      <c r="Q214" s="2"/>
      <c r="R214" s="7">
        <f t="shared" si="134"/>
        <v>1.3044415338609789E-4</v>
      </c>
      <c r="S214" s="2"/>
      <c r="T214" s="6">
        <v>125</v>
      </c>
      <c r="U214" s="2"/>
      <c r="V214" s="7">
        <f t="shared" si="135"/>
        <v>2.7767540811065432E-5</v>
      </c>
      <c r="W214" s="2"/>
      <c r="X214" s="6">
        <f t="shared" si="136"/>
        <v>196.88</v>
      </c>
      <c r="Y214" s="2"/>
      <c r="Z214" s="7">
        <f t="shared" si="137"/>
        <v>1.57504</v>
      </c>
    </row>
    <row r="215" spans="1:26" s="24" customFormat="1" hidden="1" outlineLevel="2" x14ac:dyDescent="0.25">
      <c r="A215" s="28"/>
      <c r="B215" s="11" t="str">
        <f>CONCATENATE("          ", "6298", " - ", "VEHICLE MILEAGE")</f>
        <v xml:space="preserve">          6298 - VEHICLE MILEAGE</v>
      </c>
      <c r="C215" s="11"/>
      <c r="D215" s="6"/>
      <c r="E215" s="2"/>
      <c r="F215" s="7">
        <f t="shared" si="130"/>
        <v>0</v>
      </c>
      <c r="G215" s="2"/>
      <c r="H215" s="6">
        <v>25</v>
      </c>
      <c r="I215" s="2"/>
      <c r="J215" s="7">
        <f t="shared" si="131"/>
        <v>6.3654047888213303E-5</v>
      </c>
      <c r="K215" s="2"/>
      <c r="L215" s="6">
        <f t="shared" si="132"/>
        <v>-25</v>
      </c>
      <c r="M215" s="2"/>
      <c r="N215" s="7">
        <f t="shared" si="133"/>
        <v>-1</v>
      </c>
      <c r="O215" s="11"/>
      <c r="P215" s="6">
        <v>59.89</v>
      </c>
      <c r="Q215" s="2"/>
      <c r="R215" s="7">
        <f t="shared" si="134"/>
        <v>2.4270847353962353E-5</v>
      </c>
      <c r="S215" s="2"/>
      <c r="T215" s="6">
        <v>125</v>
      </c>
      <c r="U215" s="2"/>
      <c r="V215" s="7">
        <f t="shared" si="135"/>
        <v>2.7767540811065432E-5</v>
      </c>
      <c r="W215" s="2"/>
      <c r="X215" s="6">
        <f t="shared" si="136"/>
        <v>-65.11</v>
      </c>
      <c r="Y215" s="2"/>
      <c r="Z215" s="7">
        <f t="shared" si="137"/>
        <v>-0.52088000000000001</v>
      </c>
    </row>
    <row r="216" spans="1:26" s="29" customFormat="1" outlineLevel="1" collapsed="1" x14ac:dyDescent="0.25">
      <c r="A216" s="27"/>
      <c r="B216" s="14" t="str">
        <f>CONCATENATE("     ","Utilities                                         ")</f>
        <v xml:space="preserve">     Utilities                                         </v>
      </c>
      <c r="C216" s="14"/>
      <c r="D216" s="1">
        <f>SUM(OSRRefD22_25x_0)</f>
        <v>7286.38</v>
      </c>
      <c r="E216" s="1"/>
      <c r="F216" s="5">
        <f t="shared" ref="F216:F217" si="138">IF(D$12=0,0,D216/D$12)</f>
        <v>6.5659235346796213E-2</v>
      </c>
      <c r="G216" s="1"/>
      <c r="H216" s="1">
        <f>SUM(OSRRefH22_25x_0)</f>
        <v>6926</v>
      </c>
      <c r="I216" s="1"/>
      <c r="J216" s="5">
        <f t="shared" ref="J216:J217" si="139">IF(H$12=0,0,H216/H$12)</f>
        <v>1.7634717426950615E-2</v>
      </c>
      <c r="K216" s="1"/>
      <c r="L216" s="1">
        <f t="shared" ref="L216:L217" si="140">+D216-H216</f>
        <v>360.38000000000011</v>
      </c>
      <c r="M216" s="1"/>
      <c r="N216" s="5">
        <f t="shared" ref="N216:N217" si="141">IF(H216=0,0,L216/H216)</f>
        <v>5.2032919434016764E-2</v>
      </c>
      <c r="O216" s="14"/>
      <c r="P216" s="1">
        <f>SUM(OSRRefP22_25x_0)</f>
        <v>33007.81</v>
      </c>
      <c r="Q216" s="1"/>
      <c r="R216" s="5">
        <f t="shared" ref="R216:R217" si="142">IF(P$12=0,0,P216/P$12)</f>
        <v>1.3376649156763934E-2</v>
      </c>
      <c r="S216" s="1"/>
      <c r="T216" s="1">
        <f>SUM(OSRRefT22_25x_0)</f>
        <v>33859</v>
      </c>
      <c r="U216" s="1"/>
      <c r="V216" s="5">
        <f t="shared" ref="V216:V217" si="143">IF(T$12=0,0,T216/T$12)</f>
        <v>7.521449314574916E-3</v>
      </c>
      <c r="W216" s="1"/>
      <c r="X216" s="1">
        <f t="shared" ref="X216:X217" si="144">+P216-T216</f>
        <v>-851.19000000000233</v>
      </c>
      <c r="Y216" s="1"/>
      <c r="Z216" s="5">
        <f t="shared" ref="Z216:Z217" si="145">IF(T216=0,0,X216/T216)</f>
        <v>-2.5139253964972453E-2</v>
      </c>
    </row>
    <row r="217" spans="1:26" s="24" customFormat="1" hidden="1" outlineLevel="2" x14ac:dyDescent="0.25">
      <c r="A217" s="28"/>
      <c r="B217" s="11" t="str">
        <f>CONCATENATE("          ", "6274", " - ", "UTILITIES")</f>
        <v xml:space="preserve">          6274 - UTILITIES</v>
      </c>
      <c r="C217" s="11"/>
      <c r="D217" s="6">
        <v>7286.38</v>
      </c>
      <c r="E217" s="2"/>
      <c r="F217" s="7">
        <f t="shared" si="138"/>
        <v>6.5659235346796213E-2</v>
      </c>
      <c r="G217" s="2"/>
      <c r="H217" s="6">
        <v>6926</v>
      </c>
      <c r="I217" s="2"/>
      <c r="J217" s="7">
        <f t="shared" si="139"/>
        <v>1.7634717426950615E-2</v>
      </c>
      <c r="K217" s="2"/>
      <c r="L217" s="6">
        <f t="shared" si="140"/>
        <v>360.38000000000011</v>
      </c>
      <c r="M217" s="2"/>
      <c r="N217" s="7">
        <f t="shared" si="141"/>
        <v>5.2032919434016764E-2</v>
      </c>
      <c r="O217" s="11"/>
      <c r="P217" s="6">
        <v>33007.81</v>
      </c>
      <c r="Q217" s="2"/>
      <c r="R217" s="7">
        <f t="shared" si="142"/>
        <v>1.3376649156763934E-2</v>
      </c>
      <c r="S217" s="2"/>
      <c r="T217" s="6">
        <v>33859</v>
      </c>
      <c r="U217" s="2"/>
      <c r="V217" s="7">
        <f t="shared" si="143"/>
        <v>7.521449314574916E-3</v>
      </c>
      <c r="W217" s="2"/>
      <c r="X217" s="6">
        <f t="shared" si="144"/>
        <v>-851.19000000000233</v>
      </c>
      <c r="Y217" s="2"/>
      <c r="Z217" s="7">
        <f t="shared" si="145"/>
        <v>-2.5139253964972453E-2</v>
      </c>
    </row>
    <row r="218" spans="1:26" s="62" customFormat="1" x14ac:dyDescent="0.25">
      <c r="A218" s="36"/>
      <c r="B218" s="36"/>
      <c r="C218" s="36"/>
      <c r="D218" s="1"/>
      <c r="E218" s="1"/>
      <c r="F218" s="5"/>
      <c r="G218" s="1"/>
      <c r="H218" s="1"/>
      <c r="I218" s="1"/>
      <c r="J218" s="5"/>
      <c r="K218" s="1"/>
      <c r="L218" s="1"/>
      <c r="M218" s="1"/>
      <c r="N218" s="5"/>
      <c r="O218" s="36"/>
      <c r="P218" s="1"/>
      <c r="Q218" s="1"/>
      <c r="R218" s="5"/>
      <c r="S218" s="1"/>
      <c r="T218" s="1"/>
      <c r="U218" s="1"/>
      <c r="V218" s="5"/>
      <c r="W218" s="1"/>
      <c r="X218" s="1"/>
      <c r="Y218" s="1"/>
      <c r="Z218" s="5"/>
    </row>
    <row r="219" spans="1:26" s="23" customFormat="1" collapsed="1" x14ac:dyDescent="0.25">
      <c r="A219" s="10"/>
      <c r="B219" s="26" t="s">
        <v>0</v>
      </c>
      <c r="C219" s="10"/>
      <c r="D219" s="4">
        <f>SUM(OSRRefD25x_0)</f>
        <v>72384.83</v>
      </c>
      <c r="E219" s="4"/>
      <c r="F219" s="12">
        <f t="shared" ref="F219:F223" si="146">IF(D$12=0,0,D219/D$12)</f>
        <v>0.652276245338266</v>
      </c>
      <c r="G219" s="4"/>
      <c r="H219" s="4">
        <f>SUM(OSRRefH25x_0)</f>
        <v>32825</v>
      </c>
      <c r="I219" s="4"/>
      <c r="J219" s="12">
        <f t="shared" ref="J219:J223" si="147">IF(H$12=0,0,H219/H$12)</f>
        <v>8.357776487722407E-2</v>
      </c>
      <c r="K219" s="4"/>
      <c r="L219" s="4">
        <f t="shared" ref="L219:L223" si="148">+D219-H219</f>
        <v>39559.83</v>
      </c>
      <c r="M219" s="4"/>
      <c r="N219" s="12">
        <f t="shared" ref="N219:N223" si="149">IF(H219=0,0,L219/H219)</f>
        <v>1.2051738004569688</v>
      </c>
      <c r="O219" s="10"/>
      <c r="P219" s="4">
        <f>SUM(OSRRefP25x_0)</f>
        <v>524380.25</v>
      </c>
      <c r="Q219" s="4"/>
      <c r="R219" s="12">
        <f t="shared" ref="R219:R223" si="150">IF(P$12=0,0,P219/P$12)</f>
        <v>0.21250881621610648</v>
      </c>
      <c r="S219" s="4"/>
      <c r="T219" s="4">
        <f>SUM(OSRRefT25x_0)</f>
        <v>263884</v>
      </c>
      <c r="U219" s="4"/>
      <c r="V219" s="12">
        <f t="shared" ref="V219:V223" si="151">IF(T$12=0,0,T219/T$12)</f>
        <v>5.8619277915097523E-2</v>
      </c>
      <c r="W219" s="4"/>
      <c r="X219" s="4">
        <f t="shared" ref="X219:X223" si="152">+P219-T219</f>
        <v>260496.25</v>
      </c>
      <c r="Y219" s="4"/>
      <c r="Z219" s="12">
        <f t="shared" ref="Z219:Z223" si="153">IF(T219=0,0,X219/T219)</f>
        <v>0.98716197268496764</v>
      </c>
    </row>
    <row r="220" spans="1:26" s="24" customFormat="1" hidden="1" outlineLevel="1" x14ac:dyDescent="0.25">
      <c r="A220" s="51"/>
      <c r="B220" s="11" t="str">
        <f>CONCATENATE("          ", "9150", " - ", "MISC. INCOME")</f>
        <v xml:space="preserve">          9150 - MISC. INCOME</v>
      </c>
      <c r="C220" s="11"/>
      <c r="D220" s="2">
        <f>--57387.68</f>
        <v>57387.68</v>
      </c>
      <c r="E220" s="2"/>
      <c r="F220" s="22">
        <f t="shared" si="146"/>
        <v>0.51713349936822262</v>
      </c>
      <c r="G220" s="2"/>
      <c r="H220" s="2">
        <v>17650</v>
      </c>
      <c r="I220" s="2"/>
      <c r="J220" s="22">
        <f t="shared" si="147"/>
        <v>4.4939757809078593E-2</v>
      </c>
      <c r="K220" s="2"/>
      <c r="L220" s="2">
        <f t="shared" si="148"/>
        <v>39737.68</v>
      </c>
      <c r="M220" s="2"/>
      <c r="N220" s="22">
        <f t="shared" si="149"/>
        <v>2.2514266288951843</v>
      </c>
      <c r="O220" s="11"/>
      <c r="P220" s="2">
        <f>--199082.79</f>
        <v>199082.79</v>
      </c>
      <c r="Q220" s="2"/>
      <c r="R220" s="22">
        <f t="shared" si="150"/>
        <v>8.0679712921872482E-2</v>
      </c>
      <c r="S220" s="2"/>
      <c r="T220" s="2">
        <v>95750</v>
      </c>
      <c r="U220" s="2"/>
      <c r="V220" s="22">
        <f t="shared" si="151"/>
        <v>2.1269936261276122E-2</v>
      </c>
      <c r="W220" s="2"/>
      <c r="X220" s="2">
        <f t="shared" si="152"/>
        <v>103332.79000000001</v>
      </c>
      <c r="Y220" s="2"/>
      <c r="Z220" s="22">
        <f t="shared" si="153"/>
        <v>1.0791936292428199</v>
      </c>
    </row>
    <row r="221" spans="1:26" s="24" customFormat="1" hidden="1" outlineLevel="1" x14ac:dyDescent="0.25">
      <c r="A221" s="51"/>
      <c r="B221" s="11" t="str">
        <f>CONCATENATE("          ", "9151", " - ", "MISC. INCOME")</f>
        <v xml:space="preserve">          9151 - MISC. INCOME</v>
      </c>
      <c r="C221" s="11"/>
      <c r="D221" s="2">
        <f>0</f>
        <v>0</v>
      </c>
      <c r="E221" s="2"/>
      <c r="F221" s="22">
        <f t="shared" si="146"/>
        <v>0</v>
      </c>
      <c r="G221" s="2"/>
      <c r="H221" s="2">
        <v>15175</v>
      </c>
      <c r="I221" s="2"/>
      <c r="J221" s="22">
        <f t="shared" si="147"/>
        <v>3.8638007068145477E-2</v>
      </c>
      <c r="K221" s="2"/>
      <c r="L221" s="2">
        <f t="shared" si="148"/>
        <v>-15175</v>
      </c>
      <c r="M221" s="2"/>
      <c r="N221" s="22">
        <f t="shared" si="149"/>
        <v>-1</v>
      </c>
      <c r="O221" s="11"/>
      <c r="P221" s="2">
        <f>--147285.39</f>
        <v>147285.39000000001</v>
      </c>
      <c r="Q221" s="2"/>
      <c r="R221" s="22">
        <f t="shared" si="150"/>
        <v>5.9688449126044638E-2</v>
      </c>
      <c r="S221" s="2"/>
      <c r="T221" s="2">
        <v>168134</v>
      </c>
      <c r="U221" s="2"/>
      <c r="V221" s="22">
        <f t="shared" si="151"/>
        <v>3.7349341653821401E-2</v>
      </c>
      <c r="W221" s="2"/>
      <c r="X221" s="2">
        <f t="shared" si="152"/>
        <v>-20848.609999999986</v>
      </c>
      <c r="Y221" s="2"/>
      <c r="Z221" s="22">
        <f t="shared" si="153"/>
        <v>-0.1239999643141779</v>
      </c>
    </row>
    <row r="222" spans="1:26" s="24" customFormat="1" hidden="1" outlineLevel="1" x14ac:dyDescent="0.25">
      <c r="A222" s="51"/>
      <c r="B222" s="11" t="str">
        <f>CONCATENATE("          ", "9152", " - ", "MISC. INCOME")</f>
        <v xml:space="preserve">          9152 - MISC. INCOME</v>
      </c>
      <c r="C222" s="11"/>
      <c r="D222" s="2">
        <f>--255.21</f>
        <v>255.21</v>
      </c>
      <c r="E222" s="2"/>
      <c r="F222" s="22">
        <f t="shared" si="146"/>
        <v>2.2997556335046842E-3</v>
      </c>
      <c r="G222" s="2"/>
      <c r="H222" s="2"/>
      <c r="I222" s="2"/>
      <c r="J222" s="22">
        <f t="shared" si="147"/>
        <v>0</v>
      </c>
      <c r="K222" s="2"/>
      <c r="L222" s="2">
        <f t="shared" si="148"/>
        <v>255.21</v>
      </c>
      <c r="M222" s="2"/>
      <c r="N222" s="22">
        <f t="shared" si="149"/>
        <v>0</v>
      </c>
      <c r="O222" s="11"/>
      <c r="P222" s="2">
        <f>--2606.23</f>
        <v>2606.23</v>
      </c>
      <c r="Q222" s="2"/>
      <c r="R222" s="22">
        <f t="shared" si="150"/>
        <v>1.0561931958476757E-3</v>
      </c>
      <c r="S222" s="2"/>
      <c r="T222" s="2"/>
      <c r="U222" s="2"/>
      <c r="V222" s="22">
        <f t="shared" si="151"/>
        <v>0</v>
      </c>
      <c r="W222" s="2"/>
      <c r="X222" s="2">
        <f t="shared" si="152"/>
        <v>2606.23</v>
      </c>
      <c r="Y222" s="2"/>
      <c r="Z222" s="22">
        <f t="shared" si="153"/>
        <v>0</v>
      </c>
    </row>
    <row r="223" spans="1:26" s="24" customFormat="1" hidden="1" outlineLevel="1" x14ac:dyDescent="0.25">
      <c r="A223" s="51"/>
      <c r="B223" s="11" t="str">
        <f>CONCATENATE("          ", "9163", " - ", "MISC. INCOME")</f>
        <v xml:space="preserve">          9163 - MISC. INCOME</v>
      </c>
      <c r="C223" s="11"/>
      <c r="D223" s="2">
        <f>--14741.94</f>
        <v>14741.94</v>
      </c>
      <c r="E223" s="2"/>
      <c r="F223" s="22">
        <f t="shared" si="146"/>
        <v>0.13284299033653871</v>
      </c>
      <c r="G223" s="2"/>
      <c r="H223" s="2"/>
      <c r="I223" s="2"/>
      <c r="J223" s="22">
        <f t="shared" si="147"/>
        <v>0</v>
      </c>
      <c r="K223" s="2"/>
      <c r="L223" s="2">
        <f t="shared" si="148"/>
        <v>14741.94</v>
      </c>
      <c r="M223" s="2"/>
      <c r="N223" s="22">
        <f t="shared" si="149"/>
        <v>0</v>
      </c>
      <c r="O223" s="11"/>
      <c r="P223" s="2">
        <f>--175405.84</f>
        <v>175405.84</v>
      </c>
      <c r="Q223" s="2"/>
      <c r="R223" s="22">
        <f t="shared" si="150"/>
        <v>7.1084460972341695E-2</v>
      </c>
      <c r="S223" s="2"/>
      <c r="T223" s="2"/>
      <c r="U223" s="2"/>
      <c r="V223" s="22">
        <f t="shared" si="151"/>
        <v>0</v>
      </c>
      <c r="W223" s="2"/>
      <c r="X223" s="2">
        <f t="shared" si="152"/>
        <v>175405.84</v>
      </c>
      <c r="Y223" s="2"/>
      <c r="Z223" s="22">
        <f t="shared" si="153"/>
        <v>0</v>
      </c>
    </row>
    <row r="224" spans="1:26" x14ac:dyDescent="0.25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x14ac:dyDescent="0.25">
      <c r="A225" s="10"/>
      <c r="B225" s="25" t="s">
        <v>3</v>
      </c>
      <c r="C225" s="25"/>
      <c r="D225" s="21">
        <f>+D116-D118+D219</f>
        <v>-139290.12</v>
      </c>
      <c r="E225" s="13"/>
      <c r="F225" s="20">
        <f>IF(D$12=0,0,D225/D$12)</f>
        <v>-1.2551751034894536</v>
      </c>
      <c r="G225" s="13"/>
      <c r="H225" s="21">
        <f>+H116-H118+H219</f>
        <v>-106444.34919031541</v>
      </c>
      <c r="I225" s="13"/>
      <c r="J225" s="20">
        <f>IF(H$12=0,0,H225/H$12)</f>
        <v>-0.27102454803160148</v>
      </c>
      <c r="K225" s="16"/>
      <c r="L225" s="21">
        <f>+D225-H225</f>
        <v>-32845.770809684589</v>
      </c>
      <c r="M225" s="16"/>
      <c r="N225" s="20">
        <f>IF(H225=0,0,L225/H225)</f>
        <v>0.30857223572252329</v>
      </c>
      <c r="O225" s="26"/>
      <c r="P225" s="21">
        <f>+P116-P118+P219</f>
        <v>-129046.34999999939</v>
      </c>
      <c r="Q225" s="13"/>
      <c r="R225" s="20">
        <f>IF(P$12=0,0,P225/P$12)</f>
        <v>-5.2296948780029807E-2</v>
      </c>
      <c r="S225" s="13"/>
      <c r="T225" s="21">
        <f>+T116-T118+T219</f>
        <v>-74089.392462134361</v>
      </c>
      <c r="U225" s="13"/>
      <c r="V225" s="20">
        <f>IF(T$12=0,0,T225/T$12)</f>
        <v>-1.6458241830874874E-2</v>
      </c>
      <c r="W225" s="16"/>
      <c r="X225" s="21">
        <f>+P225-T225</f>
        <v>-54956.957537865033</v>
      </c>
      <c r="Y225" s="16"/>
      <c r="Z225" s="20">
        <f>IF(T225=0,0,X225/T225)</f>
        <v>0.74176553095576347</v>
      </c>
    </row>
    <row r="226" spans="1:26" x14ac:dyDescent="0.25">
      <c r="A226" s="9"/>
      <c r="B226" s="10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25">
      <c r="A227" s="52"/>
      <c r="B227" s="10" t="s">
        <v>14</v>
      </c>
      <c r="C227" s="10"/>
      <c r="D227" s="4">
        <v>-118392.78</v>
      </c>
      <c r="E227" s="4"/>
      <c r="F227" s="12">
        <f>IF(D$12=0,0,D227/D$12)</f>
        <v>-1.0668643970505884</v>
      </c>
      <c r="G227" s="4"/>
      <c r="H227" s="4">
        <v>129430.00000000001</v>
      </c>
      <c r="I227" s="4"/>
      <c r="J227" s="12">
        <f>IF(H$12=0,0,H227/H$12)</f>
        <v>0.32954973672685794</v>
      </c>
      <c r="K227" s="4"/>
      <c r="L227" s="4">
        <f>+D227-H227</f>
        <v>-247822.78000000003</v>
      </c>
      <c r="M227" s="4"/>
      <c r="N227" s="12">
        <f>IF(H227=0,0,L227/H227)</f>
        <v>-1.9147244070153751</v>
      </c>
      <c r="O227" s="10"/>
      <c r="P227" s="4">
        <v>392096.82999999996</v>
      </c>
      <c r="Q227" s="4"/>
      <c r="R227" s="12">
        <f>IF(P$12=0,0,P227/P$12)</f>
        <v>0.15890002185510979</v>
      </c>
      <c r="S227" s="4"/>
      <c r="T227" s="4">
        <v>803644</v>
      </c>
      <c r="U227" s="4"/>
      <c r="V227" s="12">
        <f>IF(T$12=0,0,T227/T$12)</f>
        <v>0.17852174054054296</v>
      </c>
      <c r="W227" s="4"/>
      <c r="X227" s="4">
        <f>+P227-T227</f>
        <v>-411547.17000000004</v>
      </c>
      <c r="Y227" s="4"/>
      <c r="Z227" s="12">
        <f>IF(T227=0,0,X227/T227)</f>
        <v>-0.51210134089223591</v>
      </c>
    </row>
    <row r="228" spans="1:26" x14ac:dyDescent="0.25">
      <c r="A228" s="9"/>
      <c r="B228" s="10"/>
      <c r="C228" s="10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O228" s="10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ht="15.75" thickBot="1" x14ac:dyDescent="0.3">
      <c r="A229" s="10"/>
      <c r="B229" s="25" t="s">
        <v>4</v>
      </c>
      <c r="C229" s="25"/>
      <c r="D229" s="31">
        <f>+D225-D227</f>
        <v>-20897.339999999997</v>
      </c>
      <c r="E229" s="13"/>
      <c r="F229" s="34">
        <f>IF(D$12=0,0,D229/D$12)</f>
        <v>-0.18831070643886513</v>
      </c>
      <c r="G229" s="13"/>
      <c r="H229" s="31">
        <f>+H225-H227</f>
        <v>-235874.34919031541</v>
      </c>
      <c r="I229" s="13"/>
      <c r="J229" s="34">
        <f>IF(H$12=0,0,H229/H$12)</f>
        <v>-0.60057428475845942</v>
      </c>
      <c r="K229" s="16"/>
      <c r="L229" s="31">
        <f>D229-H229</f>
        <v>214977.00919031541</v>
      </c>
      <c r="M229" s="16"/>
      <c r="N229" s="34">
        <f>IF(H229=0,0,L229/H229)</f>
        <v>-0.91140477940168496</v>
      </c>
      <c r="O229" s="26"/>
      <c r="P229" s="31">
        <f>+P225-P227</f>
        <v>-521143.17999999935</v>
      </c>
      <c r="Q229" s="13"/>
      <c r="R229" s="34">
        <f>IF(P$12=0,0,P229/P$12)</f>
        <v>-0.21119697063513959</v>
      </c>
      <c r="S229" s="13"/>
      <c r="T229" s="31">
        <f>+T225-T227</f>
        <v>-877733.39246213436</v>
      </c>
      <c r="U229" s="13"/>
      <c r="V229" s="34">
        <f>IF(T$12=0,0,T229/T$12)</f>
        <v>-0.19497998237141781</v>
      </c>
      <c r="W229" s="16"/>
      <c r="X229" s="31">
        <f>P229-T229</f>
        <v>356590.21246213501</v>
      </c>
      <c r="Y229" s="16"/>
      <c r="Z229" s="34">
        <f>IF(T229=0,0,X229/T229)</f>
        <v>-0.40626255708679604</v>
      </c>
    </row>
    <row r="230" spans="1:26" ht="15.75" thickTop="1" x14ac:dyDescent="0.25">
      <c r="A230" s="9"/>
      <c r="B230" s="9"/>
      <c r="C230" s="9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x14ac:dyDescent="0.25">
      <c r="A231" s="9"/>
      <c r="B231" s="9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.75" thickBot="1" x14ac:dyDescent="0.3">
      <c r="A232" s="10"/>
      <c r="B232" s="25" t="s">
        <v>5</v>
      </c>
      <c r="C232" s="25"/>
      <c r="D232" s="33">
        <f>SUM(D229:D231)</f>
        <v>-20897.339999999997</v>
      </c>
      <c r="E232" s="13"/>
      <c r="F232" s="30">
        <f>IF(D$12=0,0,D232/D$12)</f>
        <v>-0.18831070643886513</v>
      </c>
      <c r="G232" s="13"/>
      <c r="H232" s="33">
        <f>SUM(H229:H231)</f>
        <v>-235874.34919031541</v>
      </c>
      <c r="I232" s="13"/>
      <c r="J232" s="30">
        <f>IF(H$12=0,0,H232/H$12)</f>
        <v>-0.60057428475845942</v>
      </c>
      <c r="K232" s="16"/>
      <c r="L232" s="33">
        <f>+D232-H232</f>
        <v>214977.00919031541</v>
      </c>
      <c r="M232" s="16"/>
      <c r="N232" s="30">
        <f>IF(H232=0,0,L232/H232)</f>
        <v>-0.91140477940168496</v>
      </c>
      <c r="O232" s="26"/>
      <c r="P232" s="33">
        <f>SUM(P229:P231)</f>
        <v>-521143.17999999935</v>
      </c>
      <c r="Q232" s="13"/>
      <c r="R232" s="30">
        <f>IF(P$12=0,0,P232/P$12)</f>
        <v>-0.21119697063513959</v>
      </c>
      <c r="S232" s="13"/>
      <c r="T232" s="33">
        <f>SUM(T229:T231)</f>
        <v>-877733.39246213436</v>
      </c>
      <c r="U232" s="13"/>
      <c r="V232" s="30">
        <f>IF(T$12=0,0,T232/T$12)</f>
        <v>-0.19497998237141781</v>
      </c>
      <c r="W232" s="16"/>
      <c r="X232" s="33">
        <f>+P232-T232</f>
        <v>356590.21246213501</v>
      </c>
      <c r="Y232" s="16"/>
      <c r="Z232" s="30">
        <f>IF(T232=0,0,X232/T232)</f>
        <v>-0.40626255708679604</v>
      </c>
    </row>
    <row r="233" spans="1:26" ht="15.75" thickTop="1" x14ac:dyDescent="0.25">
      <c r="A233" s="9"/>
      <c r="C233" s="9"/>
      <c r="D233" s="18"/>
      <c r="E233" s="18"/>
      <c r="G233" s="18"/>
      <c r="H233" s="18"/>
      <c r="I233" s="18"/>
      <c r="J233" s="43"/>
      <c r="K233" s="18"/>
      <c r="L233" s="18"/>
      <c r="M233" s="18"/>
      <c r="P233" s="18"/>
      <c r="Q233" s="18"/>
      <c r="R233" s="43"/>
      <c r="S233" s="18"/>
      <c r="T233" s="18"/>
      <c r="U233" s="18"/>
      <c r="V233" s="43"/>
      <c r="W233" s="18"/>
      <c r="X233" s="18"/>
    </row>
    <row r="234" spans="1:26" x14ac:dyDescent="0.25">
      <c r="A234" s="9"/>
      <c r="B234" s="55">
        <v>44174.679016863425</v>
      </c>
      <c r="D234" s="18"/>
      <c r="E234" s="18"/>
      <c r="G234" s="18"/>
      <c r="H234" s="18"/>
      <c r="I234" s="18"/>
      <c r="J234" s="43"/>
      <c r="K234" s="18"/>
      <c r="L234" s="18"/>
      <c r="M234" s="18"/>
      <c r="P234" s="18"/>
      <c r="Q234" s="18"/>
      <c r="R234" s="43"/>
      <c r="S234" s="18"/>
      <c r="T234" s="18"/>
      <c r="U234" s="18"/>
      <c r="V234" s="43"/>
      <c r="W234" s="18"/>
      <c r="X234" s="18"/>
    </row>
    <row r="235" spans="1:26" x14ac:dyDescent="0.25">
      <c r="A235" s="9"/>
      <c r="B235" s="57" t="s">
        <v>314</v>
      </c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  <row r="236" spans="1:26" x14ac:dyDescent="0.25">
      <c r="A236" s="9"/>
      <c r="B236" s="63"/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25"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110972.66000000003</v>
      </c>
      <c r="E12" s="4"/>
      <c r="F12" s="12"/>
      <c r="G12" s="4"/>
      <c r="H12" s="4">
        <f>SUM(OSRRefH13x_0)</f>
        <v>354213</v>
      </c>
      <c r="I12" s="4"/>
      <c r="J12" s="12"/>
      <c r="K12" s="4"/>
      <c r="L12" s="4">
        <f t="shared" ref="L12:L74" si="0">+D12-H12</f>
        <v>-243240.33999999997</v>
      </c>
      <c r="M12" s="4"/>
      <c r="N12" s="12">
        <f t="shared" ref="N12:N74" si="1">IF(H12=0,0,L12/H12)</f>
        <v>-0.68670641676053668</v>
      </c>
      <c r="O12" s="10"/>
      <c r="P12" s="4">
        <f>SUM(OSRRefP13x_0)</f>
        <v>2464982.92</v>
      </c>
      <c r="Q12" s="4"/>
      <c r="R12" s="12"/>
      <c r="S12" s="4"/>
      <c r="T12" s="4">
        <f>SUM(OSRRefT13x_0)</f>
        <v>4340602</v>
      </c>
      <c r="U12" s="4"/>
      <c r="V12" s="12"/>
      <c r="W12" s="4"/>
      <c r="X12" s="4">
        <f t="shared" ref="X12:X74" si="2">+P12-T12</f>
        <v>-1875619.08</v>
      </c>
      <c r="Y12" s="4"/>
      <c r="Z12" s="12">
        <f t="shared" ref="Z12:Z74" si="3">IF(T12=0,0,X12/T12)</f>
        <v>-0.43211035704264067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-9538.33</f>
        <v>-9538.33</v>
      </c>
      <c r="E13" s="2"/>
      <c r="F13" s="22"/>
      <c r="G13" s="2"/>
      <c r="H13" s="2">
        <v>342011</v>
      </c>
      <c r="I13" s="2"/>
      <c r="J13" s="22"/>
      <c r="K13" s="2"/>
      <c r="L13" s="2">
        <f t="shared" si="0"/>
        <v>-351549.33</v>
      </c>
      <c r="M13" s="2"/>
      <c r="N13" s="22">
        <f t="shared" si="1"/>
        <v>-1.0278889567879397</v>
      </c>
      <c r="O13" s="11"/>
      <c r="P13" s="2">
        <f>-56998.65</f>
        <v>-56998.65</v>
      </c>
      <c r="Q13" s="2"/>
      <c r="R13" s="22"/>
      <c r="S13" s="2"/>
      <c r="T13" s="2">
        <v>4285488</v>
      </c>
      <c r="U13" s="2"/>
      <c r="V13" s="22"/>
      <c r="W13" s="2"/>
      <c r="X13" s="2">
        <f t="shared" si="2"/>
        <v>-4342486.6500000004</v>
      </c>
      <c r="Y13" s="2"/>
      <c r="Z13" s="22">
        <f t="shared" si="3"/>
        <v>-1.0133003872604474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22"/>
      <c r="G14" s="2"/>
      <c r="H14" s="2"/>
      <c r="I14" s="2"/>
      <c r="J14" s="22"/>
      <c r="K14" s="2"/>
      <c r="L14" s="2">
        <f t="shared" si="0"/>
        <v>6816.45</v>
      </c>
      <c r="M14" s="2"/>
      <c r="N14" s="22">
        <f t="shared" si="1"/>
        <v>0</v>
      </c>
      <c r="O14" s="11"/>
      <c r="P14" s="2">
        <f>--719144.02</f>
        <v>719144.02</v>
      </c>
      <c r="Q14" s="2"/>
      <c r="R14" s="22"/>
      <c r="S14" s="2"/>
      <c r="T14" s="2"/>
      <c r="U14" s="2"/>
      <c r="V14" s="22"/>
      <c r="W14" s="2"/>
      <c r="X14" s="2">
        <f t="shared" si="2"/>
        <v>719144.02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22"/>
      <c r="G15" s="2"/>
      <c r="H15" s="2"/>
      <c r="I15" s="2"/>
      <c r="J15" s="22"/>
      <c r="K15" s="2"/>
      <c r="L15" s="2">
        <f t="shared" si="0"/>
        <v>1492.1</v>
      </c>
      <c r="M15" s="2"/>
      <c r="N15" s="22">
        <f t="shared" si="1"/>
        <v>0</v>
      </c>
      <c r="O15" s="11"/>
      <c r="P15" s="2">
        <f>--320631.62</f>
        <v>320631.62</v>
      </c>
      <c r="Q15" s="2"/>
      <c r="R15" s="22"/>
      <c r="S15" s="2"/>
      <c r="T15" s="2"/>
      <c r="U15" s="2"/>
      <c r="V15" s="22"/>
      <c r="W15" s="2"/>
      <c r="X15" s="2">
        <f t="shared" si="2"/>
        <v>320631.62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--18.37</f>
        <v>18.37</v>
      </c>
      <c r="E21" s="2"/>
      <c r="F21" s="22"/>
      <c r="G21" s="2"/>
      <c r="H21" s="2"/>
      <c r="I21" s="2"/>
      <c r="J21" s="22"/>
      <c r="K21" s="2"/>
      <c r="L21" s="2">
        <f t="shared" si="0"/>
        <v>18.37</v>
      </c>
      <c r="M21" s="2"/>
      <c r="N21" s="22">
        <f t="shared" si="1"/>
        <v>0</v>
      </c>
      <c r="O21" s="11"/>
      <c r="P21" s="2">
        <f>--297.2</f>
        <v>297.2</v>
      </c>
      <c r="Q21" s="2"/>
      <c r="R21" s="22"/>
      <c r="S21" s="2"/>
      <c r="T21" s="2"/>
      <c r="U21" s="2"/>
      <c r="V21" s="22"/>
      <c r="W21" s="2"/>
      <c r="X21" s="2">
        <f t="shared" si="2"/>
        <v>297.2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--1716.97</f>
        <v>1716.97</v>
      </c>
      <c r="E22" s="2"/>
      <c r="F22" s="22"/>
      <c r="G22" s="2"/>
      <c r="H22" s="2"/>
      <c r="I22" s="2"/>
      <c r="J22" s="22"/>
      <c r="K22" s="2"/>
      <c r="L22" s="2">
        <f t="shared" si="0"/>
        <v>1716.97</v>
      </c>
      <c r="M22" s="2"/>
      <c r="N22" s="22">
        <f t="shared" si="1"/>
        <v>0</v>
      </c>
      <c r="O22" s="11"/>
      <c r="P22" s="2">
        <f>--36720.47</f>
        <v>36720.47</v>
      </c>
      <c r="Q22" s="2"/>
      <c r="R22" s="22"/>
      <c r="S22" s="2"/>
      <c r="T22" s="2"/>
      <c r="U22" s="2"/>
      <c r="V22" s="22"/>
      <c r="W22" s="2"/>
      <c r="X22" s="2">
        <f t="shared" si="2"/>
        <v>36720.47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--1730.73</f>
        <v>1730.73</v>
      </c>
      <c r="E23" s="2"/>
      <c r="F23" s="22"/>
      <c r="G23" s="2"/>
      <c r="H23" s="2"/>
      <c r="I23" s="2"/>
      <c r="J23" s="22"/>
      <c r="K23" s="2"/>
      <c r="L23" s="2">
        <f t="shared" si="0"/>
        <v>1730.73</v>
      </c>
      <c r="M23" s="2"/>
      <c r="N23" s="22">
        <f t="shared" si="1"/>
        <v>0</v>
      </c>
      <c r="O23" s="11"/>
      <c r="P23" s="2">
        <f>--15999.58</f>
        <v>15999.58</v>
      </c>
      <c r="Q23" s="2"/>
      <c r="R23" s="22"/>
      <c r="S23" s="2"/>
      <c r="T23" s="2"/>
      <c r="U23" s="2"/>
      <c r="V23" s="22"/>
      <c r="W23" s="2"/>
      <c r="X23" s="2">
        <f t="shared" si="2"/>
        <v>15999.58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--194.65</f>
        <v>194.65</v>
      </c>
      <c r="E24" s="2"/>
      <c r="F24" s="22"/>
      <c r="G24" s="2"/>
      <c r="H24" s="2"/>
      <c r="I24" s="2"/>
      <c r="J24" s="22"/>
      <c r="K24" s="2"/>
      <c r="L24" s="2">
        <f t="shared" si="0"/>
        <v>194.65</v>
      </c>
      <c r="M24" s="2"/>
      <c r="N24" s="22">
        <f t="shared" si="1"/>
        <v>0</v>
      </c>
      <c r="O24" s="11"/>
      <c r="P24" s="2">
        <f>--1862.61</f>
        <v>1862.61</v>
      </c>
      <c r="Q24" s="2"/>
      <c r="R24" s="22"/>
      <c r="S24" s="2"/>
      <c r="T24" s="2"/>
      <c r="U24" s="2"/>
      <c r="V24" s="22"/>
      <c r="W24" s="2"/>
      <c r="X24" s="2">
        <f t="shared" si="2"/>
        <v>1862.61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--40927.79</f>
        <v>40927.79</v>
      </c>
      <c r="E26" s="2"/>
      <c r="F26" s="22"/>
      <c r="G26" s="2"/>
      <c r="H26" s="2"/>
      <c r="I26" s="2"/>
      <c r="J26" s="22"/>
      <c r="K26" s="2"/>
      <c r="L26" s="2">
        <f t="shared" si="0"/>
        <v>40927.79</v>
      </c>
      <c r="M26" s="2"/>
      <c r="N26" s="22">
        <f t="shared" si="1"/>
        <v>0</v>
      </c>
      <c r="O26" s="11"/>
      <c r="P26" s="2">
        <f>--423732.7</f>
        <v>423732.7</v>
      </c>
      <c r="Q26" s="2"/>
      <c r="R26" s="22"/>
      <c r="S26" s="2"/>
      <c r="T26" s="2"/>
      <c r="U26" s="2"/>
      <c r="V26" s="22"/>
      <c r="W26" s="2"/>
      <c r="X26" s="2">
        <f t="shared" si="2"/>
        <v>423732.7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--12313.27</f>
        <v>12313.27</v>
      </c>
      <c r="E27" s="2"/>
      <c r="F27" s="22"/>
      <c r="G27" s="2"/>
      <c r="H27" s="2"/>
      <c r="I27" s="2"/>
      <c r="J27" s="22"/>
      <c r="K27" s="2"/>
      <c r="L27" s="2">
        <f t="shared" si="0"/>
        <v>12313.27</v>
      </c>
      <c r="M27" s="2"/>
      <c r="N27" s="22">
        <f t="shared" si="1"/>
        <v>0</v>
      </c>
      <c r="O27" s="11"/>
      <c r="P27" s="2">
        <f>--165400.49</f>
        <v>165400.49</v>
      </c>
      <c r="Q27" s="2"/>
      <c r="R27" s="22"/>
      <c r="S27" s="2"/>
      <c r="T27" s="2"/>
      <c r="U27" s="2"/>
      <c r="V27" s="22"/>
      <c r="W27" s="2"/>
      <c r="X27" s="2">
        <f t="shared" si="2"/>
        <v>165400.49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--2095.44</f>
        <v>2095.44</v>
      </c>
      <c r="E28" s="2"/>
      <c r="F28" s="22"/>
      <c r="G28" s="2"/>
      <c r="H28" s="2"/>
      <c r="I28" s="2"/>
      <c r="J28" s="22"/>
      <c r="K28" s="2"/>
      <c r="L28" s="2">
        <f t="shared" si="0"/>
        <v>2095.44</v>
      </c>
      <c r="M28" s="2"/>
      <c r="N28" s="22">
        <f t="shared" si="1"/>
        <v>0</v>
      </c>
      <c r="O28" s="11"/>
      <c r="P28" s="2">
        <f>--56879.12</f>
        <v>56879.12</v>
      </c>
      <c r="Q28" s="2"/>
      <c r="R28" s="22"/>
      <c r="S28" s="2"/>
      <c r="T28" s="2"/>
      <c r="U28" s="2"/>
      <c r="V28" s="22"/>
      <c r="W28" s="2"/>
      <c r="X28" s="2">
        <f t="shared" si="2"/>
        <v>56879.12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--16932.18</f>
        <v>16932.18</v>
      </c>
      <c r="E29" s="2"/>
      <c r="F29" s="22"/>
      <c r="G29" s="2"/>
      <c r="H29" s="2"/>
      <c r="I29" s="2"/>
      <c r="J29" s="22"/>
      <c r="K29" s="2"/>
      <c r="L29" s="2">
        <f t="shared" si="0"/>
        <v>16932.18</v>
      </c>
      <c r="M29" s="2"/>
      <c r="N29" s="22">
        <f t="shared" si="1"/>
        <v>0</v>
      </c>
      <c r="O29" s="11"/>
      <c r="P29" s="2">
        <f>--57178.22</f>
        <v>57178.22</v>
      </c>
      <c r="Q29" s="2"/>
      <c r="R29" s="22"/>
      <c r="S29" s="2"/>
      <c r="T29" s="2"/>
      <c r="U29" s="2"/>
      <c r="V29" s="22"/>
      <c r="W29" s="2"/>
      <c r="X29" s="2">
        <f t="shared" si="2"/>
        <v>57178.22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--2517.35</f>
        <v>2517.35</v>
      </c>
      <c r="E30" s="2"/>
      <c r="F30" s="22"/>
      <c r="G30" s="2"/>
      <c r="H30" s="2"/>
      <c r="I30" s="2"/>
      <c r="J30" s="22"/>
      <c r="K30" s="2"/>
      <c r="L30" s="2">
        <f t="shared" si="0"/>
        <v>2517.35</v>
      </c>
      <c r="M30" s="2"/>
      <c r="N30" s="22">
        <f t="shared" si="1"/>
        <v>0</v>
      </c>
      <c r="O30" s="11"/>
      <c r="P30" s="2">
        <f>--15006.51</f>
        <v>15006.51</v>
      </c>
      <c r="Q30" s="2"/>
      <c r="R30" s="22"/>
      <c r="S30" s="2"/>
      <c r="T30" s="2"/>
      <c r="U30" s="2"/>
      <c r="V30" s="22"/>
      <c r="W30" s="2"/>
      <c r="X30" s="2">
        <f t="shared" si="2"/>
        <v>15006.51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--11255.56</f>
        <v>11255.56</v>
      </c>
      <c r="E31" s="2"/>
      <c r="F31" s="22"/>
      <c r="G31" s="2"/>
      <c r="H31" s="2"/>
      <c r="I31" s="2"/>
      <c r="J31" s="22"/>
      <c r="K31" s="2"/>
      <c r="L31" s="2">
        <f t="shared" si="0"/>
        <v>11255.56</v>
      </c>
      <c r="M31" s="2"/>
      <c r="N31" s="22">
        <f t="shared" si="1"/>
        <v>0</v>
      </c>
      <c r="O31" s="11"/>
      <c r="P31" s="2">
        <f>--108212.17</f>
        <v>108212.17</v>
      </c>
      <c r="Q31" s="2"/>
      <c r="R31" s="22"/>
      <c r="S31" s="2"/>
      <c r="T31" s="2"/>
      <c r="U31" s="2"/>
      <c r="V31" s="22"/>
      <c r="W31" s="2"/>
      <c r="X31" s="2">
        <f t="shared" si="2"/>
        <v>108212.17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6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6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"4100", " - ", "NON-TAXABLE SALES")</f>
        <v xml:space="preserve">          4100 - NON-TAXABLE SALES</v>
      </c>
      <c r="C34" s="11"/>
      <c r="D34" s="2">
        <f>--1333.61</f>
        <v>1333.61</v>
      </c>
      <c r="E34" s="2"/>
      <c r="F34" s="22"/>
      <c r="G34" s="2"/>
      <c r="H34" s="2">
        <v>12202</v>
      </c>
      <c r="I34" s="2"/>
      <c r="J34" s="22"/>
      <c r="K34" s="2"/>
      <c r="L34" s="2">
        <f t="shared" si="0"/>
        <v>-10868.39</v>
      </c>
      <c r="M34" s="2"/>
      <c r="N34" s="22">
        <f t="shared" si="1"/>
        <v>-0.89070562202917547</v>
      </c>
      <c r="O34" s="11"/>
      <c r="P34" s="2">
        <f>--165813.42</f>
        <v>165813.42000000001</v>
      </c>
      <c r="Q34" s="2"/>
      <c r="R34" s="22"/>
      <c r="S34" s="2"/>
      <c r="T34" s="2">
        <v>55114</v>
      </c>
      <c r="U34" s="2"/>
      <c r="V34" s="22"/>
      <c r="W34" s="2"/>
      <c r="X34" s="2">
        <f t="shared" si="2"/>
        <v>110699.42000000001</v>
      </c>
      <c r="Y34" s="2"/>
      <c r="Z34" s="22">
        <f t="shared" si="3"/>
        <v>2.0085535435642488</v>
      </c>
    </row>
    <row r="35" spans="1:26" s="24" customFormat="1" hidden="1" outlineLevel="1" x14ac:dyDescent="0.25">
      <c r="A35" s="51"/>
      <c r="B35" s="11" t="str">
        <f>CONCATENATE("          ", "4101", " - ", "NON-TAXABLE SALES-NEW TEXT")</f>
        <v xml:space="preserve">          4101 - NON-TAXABLE SALES-NEW TEXT</v>
      </c>
      <c r="C35" s="11"/>
      <c r="D35" s="2">
        <f>--1270.83</f>
        <v>1270.83</v>
      </c>
      <c r="E35" s="2"/>
      <c r="F35" s="22"/>
      <c r="G35" s="2"/>
      <c r="H35" s="2"/>
      <c r="I35" s="2"/>
      <c r="J35" s="22"/>
      <c r="K35" s="2"/>
      <c r="L35" s="2">
        <f t="shared" si="0"/>
        <v>1270.83</v>
      </c>
      <c r="M35" s="2"/>
      <c r="N35" s="22">
        <f t="shared" si="1"/>
        <v>0</v>
      </c>
      <c r="O35" s="11"/>
      <c r="P35" s="2">
        <f>--78935.72</f>
        <v>78935.72</v>
      </c>
      <c r="Q35" s="2"/>
      <c r="R35" s="22"/>
      <c r="S35" s="2"/>
      <c r="T35" s="2"/>
      <c r="U35" s="2"/>
      <c r="V35" s="22"/>
      <c r="W35" s="2"/>
      <c r="X35" s="2">
        <f t="shared" si="2"/>
        <v>78935.72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"4102", " - ", "NON-TAXABLE SALES-USED TEXT")</f>
        <v xml:space="preserve">          4102 - NON-TAXABLE SALES-USED TEXT</v>
      </c>
      <c r="C36" s="11"/>
      <c r="D36" s="2">
        <f>--320.72</f>
        <v>320.72000000000003</v>
      </c>
      <c r="E36" s="2"/>
      <c r="F36" s="22"/>
      <c r="G36" s="2"/>
      <c r="H36" s="2"/>
      <c r="I36" s="2"/>
      <c r="J36" s="22"/>
      <c r="K36" s="2"/>
      <c r="L36" s="2">
        <f t="shared" si="0"/>
        <v>320.72000000000003</v>
      </c>
      <c r="M36" s="2"/>
      <c r="N36" s="22">
        <f t="shared" si="1"/>
        <v>0</v>
      </c>
      <c r="O36" s="11"/>
      <c r="P36" s="2">
        <f>--33033.19</f>
        <v>33033.19</v>
      </c>
      <c r="Q36" s="2"/>
      <c r="R36" s="22"/>
      <c r="S36" s="2"/>
      <c r="T36" s="2"/>
      <c r="U36" s="2"/>
      <c r="V36" s="22"/>
      <c r="W36" s="2"/>
      <c r="X36" s="2">
        <f t="shared" si="2"/>
        <v>33033.19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--284.97</f>
        <v>284.97000000000003</v>
      </c>
      <c r="Q37" s="2"/>
      <c r="R37" s="22"/>
      <c r="S37" s="2"/>
      <c r="T37" s="2"/>
      <c r="U37" s="2"/>
      <c r="V37" s="22"/>
      <c r="W37" s="2"/>
      <c r="X37" s="2">
        <f t="shared" si="2"/>
        <v>284.97000000000003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>--1414.19</f>
        <v>1414.19</v>
      </c>
      <c r="E38" s="2"/>
      <c r="F38" s="22"/>
      <c r="G38" s="2"/>
      <c r="H38" s="2"/>
      <c r="I38" s="2"/>
      <c r="J38" s="22"/>
      <c r="K38" s="2"/>
      <c r="L38" s="2">
        <f t="shared" si="0"/>
        <v>1414.19</v>
      </c>
      <c r="M38" s="2"/>
      <c r="N38" s="22">
        <f t="shared" si="1"/>
        <v>0</v>
      </c>
      <c r="O38" s="11"/>
      <c r="P38" s="2">
        <f>--294889.71</f>
        <v>294889.71000000002</v>
      </c>
      <c r="Q38" s="2"/>
      <c r="R38" s="22"/>
      <c r="S38" s="2"/>
      <c r="T38" s="2"/>
      <c r="U38" s="2"/>
      <c r="V38" s="22"/>
      <c r="W38" s="2"/>
      <c r="X38" s="2">
        <f t="shared" si="2"/>
        <v>294889.71000000002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>--630</f>
        <v>630</v>
      </c>
      <c r="E39" s="2"/>
      <c r="F39" s="22"/>
      <c r="G39" s="2"/>
      <c r="H39" s="2"/>
      <c r="I39" s="2"/>
      <c r="J39" s="22"/>
      <c r="K39" s="2"/>
      <c r="L39" s="2">
        <f t="shared" si="0"/>
        <v>630</v>
      </c>
      <c r="M39" s="2"/>
      <c r="N39" s="22">
        <f t="shared" si="1"/>
        <v>0</v>
      </c>
      <c r="O39" s="11"/>
      <c r="P39" s="2">
        <f>--2285.95</f>
        <v>2285.9499999999998</v>
      </c>
      <c r="Q39" s="2"/>
      <c r="R39" s="22"/>
      <c r="S39" s="2"/>
      <c r="T39" s="2"/>
      <c r="U39" s="2"/>
      <c r="V39" s="22"/>
      <c r="W39" s="2"/>
      <c r="X39" s="2">
        <f t="shared" si="2"/>
        <v>2285.9499999999998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>--27.8</f>
        <v>27.8</v>
      </c>
      <c r="E40" s="2"/>
      <c r="F40" s="22"/>
      <c r="G40" s="2"/>
      <c r="H40" s="2"/>
      <c r="I40" s="2"/>
      <c r="J40" s="22"/>
      <c r="K40" s="2"/>
      <c r="L40" s="2">
        <f t="shared" si="0"/>
        <v>27.8</v>
      </c>
      <c r="M40" s="2"/>
      <c r="N40" s="22">
        <f t="shared" si="1"/>
        <v>0</v>
      </c>
      <c r="O40" s="11"/>
      <c r="P40" s="2">
        <f>--233.43</f>
        <v>233.43</v>
      </c>
      <c r="Q40" s="2"/>
      <c r="R40" s="22"/>
      <c r="S40" s="2"/>
      <c r="T40" s="2"/>
      <c r="U40" s="2"/>
      <c r="V40" s="22"/>
      <c r="W40" s="2"/>
      <c r="X40" s="2">
        <f t="shared" si="2"/>
        <v>233.43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--52.68</f>
        <v>52.68</v>
      </c>
      <c r="Q41" s="2"/>
      <c r="R41" s="22"/>
      <c r="S41" s="2"/>
      <c r="T41" s="2"/>
      <c r="U41" s="2"/>
      <c r="V41" s="22"/>
      <c r="W41" s="2"/>
      <c r="X41" s="2">
        <f t="shared" si="2"/>
        <v>52.68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>--114.89</f>
        <v>114.89</v>
      </c>
      <c r="E42" s="2"/>
      <c r="F42" s="22"/>
      <c r="G42" s="2"/>
      <c r="H42" s="2"/>
      <c r="I42" s="2"/>
      <c r="J42" s="22"/>
      <c r="K42" s="2"/>
      <c r="L42" s="2">
        <f t="shared" si="0"/>
        <v>114.89</v>
      </c>
      <c r="M42" s="2"/>
      <c r="N42" s="22">
        <f t="shared" si="1"/>
        <v>0</v>
      </c>
      <c r="O42" s="11"/>
      <c r="P42" s="2">
        <f>--2946.58</f>
        <v>2946.58</v>
      </c>
      <c r="Q42" s="2"/>
      <c r="R42" s="22"/>
      <c r="S42" s="2"/>
      <c r="T42" s="2"/>
      <c r="U42" s="2"/>
      <c r="V42" s="22"/>
      <c r="W42" s="2"/>
      <c r="X42" s="2">
        <f t="shared" si="2"/>
        <v>2946.58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"4128", " - ", "NON-TAXABLE SALES-ART/TECH")</f>
        <v xml:space="preserve">          4128 - NON-TAXABLE SALES-ART/TECH</v>
      </c>
      <c r="C43" s="11"/>
      <c r="D43" s="2">
        <f>--24.78</f>
        <v>24.78</v>
      </c>
      <c r="E43" s="2"/>
      <c r="F43" s="22"/>
      <c r="G43" s="2"/>
      <c r="H43" s="2"/>
      <c r="I43" s="2"/>
      <c r="J43" s="22"/>
      <c r="K43" s="2"/>
      <c r="L43" s="2">
        <f t="shared" si="0"/>
        <v>24.78</v>
      </c>
      <c r="M43" s="2"/>
      <c r="N43" s="22">
        <f t="shared" si="1"/>
        <v>0</v>
      </c>
      <c r="O43" s="11"/>
      <c r="P43" s="2">
        <f>--24.78</f>
        <v>24.78</v>
      </c>
      <c r="Q43" s="2"/>
      <c r="R43" s="22"/>
      <c r="S43" s="2"/>
      <c r="T43" s="2"/>
      <c r="U43" s="2"/>
      <c r="V43" s="22"/>
      <c r="W43" s="2"/>
      <c r="X43" s="2">
        <f t="shared" si="2"/>
        <v>24.78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"4131", " - ", "NON-TAXABLE SALES-FOOD")</f>
        <v xml:space="preserve">          4131 - NON-TAXABLE SALES-FOOD</v>
      </c>
      <c r="C44" s="11"/>
      <c r="D44" s="2">
        <f>--983.89</f>
        <v>983.89</v>
      </c>
      <c r="E44" s="2"/>
      <c r="F44" s="22"/>
      <c r="G44" s="2"/>
      <c r="H44" s="2"/>
      <c r="I44" s="2"/>
      <c r="J44" s="22"/>
      <c r="K44" s="2"/>
      <c r="L44" s="2">
        <f t="shared" si="0"/>
        <v>983.89</v>
      </c>
      <c r="M44" s="2"/>
      <c r="N44" s="22">
        <f t="shared" si="1"/>
        <v>0</v>
      </c>
      <c r="O44" s="11"/>
      <c r="P44" s="2">
        <f>--6509.33</f>
        <v>6509.33</v>
      </c>
      <c r="Q44" s="2"/>
      <c r="R44" s="22"/>
      <c r="S44" s="2"/>
      <c r="T44" s="2"/>
      <c r="U44" s="2"/>
      <c r="V44" s="22"/>
      <c r="W44" s="2"/>
      <c r="X44" s="2">
        <f t="shared" si="2"/>
        <v>6509.33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ref="D45:D48" si="7"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--22.49</f>
        <v>22.49</v>
      </c>
      <c r="Q45" s="2"/>
      <c r="R45" s="22"/>
      <c r="S45" s="2"/>
      <c r="T45" s="2"/>
      <c r="U45" s="2"/>
      <c r="V45" s="22"/>
      <c r="W45" s="2"/>
      <c r="X45" s="2">
        <f t="shared" si="2"/>
        <v>22.49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7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--80.71</f>
        <v>80.709999999999994</v>
      </c>
      <c r="Q46" s="2"/>
      <c r="R46" s="22"/>
      <c r="S46" s="2"/>
      <c r="T46" s="2"/>
      <c r="U46" s="2"/>
      <c r="V46" s="22"/>
      <c r="W46" s="2"/>
      <c r="X46" s="2">
        <f t="shared" si="2"/>
        <v>80.709999999999994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7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--45.53</f>
        <v>45.53</v>
      </c>
      <c r="Q47" s="2"/>
      <c r="R47" s="22"/>
      <c r="S47" s="2"/>
      <c r="T47" s="2"/>
      <c r="U47" s="2"/>
      <c r="V47" s="22"/>
      <c r="W47" s="2"/>
      <c r="X47" s="2">
        <f t="shared" si="2"/>
        <v>45.53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7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--68.25</f>
        <v>68.25</v>
      </c>
      <c r="Q48" s="2"/>
      <c r="R48" s="22"/>
      <c r="S48" s="2"/>
      <c r="T48" s="2"/>
      <c r="U48" s="2"/>
      <c r="V48" s="22"/>
      <c r="W48" s="2"/>
      <c r="X48" s="2">
        <f t="shared" si="2"/>
        <v>68.25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>--19704.79</f>
        <v>19704.79</v>
      </c>
      <c r="E49" s="2"/>
      <c r="F49" s="22"/>
      <c r="G49" s="2"/>
      <c r="H49" s="2"/>
      <c r="I49" s="2"/>
      <c r="J49" s="22"/>
      <c r="K49" s="2"/>
      <c r="L49" s="2">
        <f t="shared" si="0"/>
        <v>19704.79</v>
      </c>
      <c r="M49" s="2"/>
      <c r="N49" s="22">
        <f t="shared" si="1"/>
        <v>0</v>
      </c>
      <c r="O49" s="11"/>
      <c r="P49" s="2">
        <f>--50320.27</f>
        <v>50320.27</v>
      </c>
      <c r="Q49" s="2"/>
      <c r="R49" s="22"/>
      <c r="S49" s="2"/>
      <c r="T49" s="2"/>
      <c r="U49" s="2"/>
      <c r="V49" s="22"/>
      <c r="W49" s="2"/>
      <c r="X49" s="2">
        <f t="shared" si="2"/>
        <v>50320.27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--806.32</f>
        <v>806.32</v>
      </c>
      <c r="E50" s="2"/>
      <c r="F50" s="22"/>
      <c r="G50" s="2"/>
      <c r="H50" s="2"/>
      <c r="I50" s="2"/>
      <c r="J50" s="22"/>
      <c r="K50" s="2"/>
      <c r="L50" s="2">
        <f t="shared" si="0"/>
        <v>806.32</v>
      </c>
      <c r="M50" s="2"/>
      <c r="N50" s="22">
        <f t="shared" si="1"/>
        <v>0</v>
      </c>
      <c r="O50" s="11"/>
      <c r="P50" s="2">
        <f>--4189.02</f>
        <v>4189.0200000000004</v>
      </c>
      <c r="Q50" s="2"/>
      <c r="R50" s="22"/>
      <c r="S50" s="2"/>
      <c r="T50" s="2"/>
      <c r="U50" s="2"/>
      <c r="V50" s="22"/>
      <c r="W50" s="2"/>
      <c r="X50" s="2">
        <f t="shared" si="2"/>
        <v>4189.0200000000004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>--887.78</f>
        <v>887.78</v>
      </c>
      <c r="E51" s="2"/>
      <c r="F51" s="22"/>
      <c r="G51" s="2"/>
      <c r="H51" s="2"/>
      <c r="I51" s="2"/>
      <c r="J51" s="22"/>
      <c r="K51" s="2"/>
      <c r="L51" s="2">
        <f t="shared" si="0"/>
        <v>887.78</v>
      </c>
      <c r="M51" s="2"/>
      <c r="N51" s="22">
        <f t="shared" si="1"/>
        <v>0</v>
      </c>
      <c r="O51" s="11"/>
      <c r="P51" s="2">
        <f>--2208.19</f>
        <v>2208.19</v>
      </c>
      <c r="Q51" s="2"/>
      <c r="R51" s="22"/>
      <c r="S51" s="2"/>
      <c r="T51" s="2"/>
      <c r="U51" s="2"/>
      <c r="V51" s="22"/>
      <c r="W51" s="2"/>
      <c r="X51" s="2">
        <f t="shared" si="2"/>
        <v>2208.19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"4143", " - ", "NON-TAXABLE SALES-CARDS")</f>
        <v xml:space="preserve">          4143 - NON-TAXABLE SALES-CARDS</v>
      </c>
      <c r="C52" s="11"/>
      <c r="D52" s="2">
        <f>--9.99</f>
        <v>9.99</v>
      </c>
      <c r="E52" s="2"/>
      <c r="F52" s="22"/>
      <c r="G52" s="2"/>
      <c r="H52" s="2"/>
      <c r="I52" s="2"/>
      <c r="J52" s="22"/>
      <c r="K52" s="2"/>
      <c r="L52" s="2">
        <f t="shared" si="0"/>
        <v>9.99</v>
      </c>
      <c r="M52" s="2"/>
      <c r="N52" s="22">
        <f t="shared" si="1"/>
        <v>0</v>
      </c>
      <c r="O52" s="11"/>
      <c r="P52" s="2">
        <f>--39.96</f>
        <v>39.96</v>
      </c>
      <c r="Q52" s="2"/>
      <c r="R52" s="22"/>
      <c r="S52" s="2"/>
      <c r="T52" s="2"/>
      <c r="U52" s="2"/>
      <c r="V52" s="22"/>
      <c r="W52" s="2"/>
      <c r="X52" s="2">
        <f t="shared" si="2"/>
        <v>39.96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>--19.95</f>
        <v>19.95</v>
      </c>
      <c r="E53" s="2"/>
      <c r="F53" s="22"/>
      <c r="G53" s="2"/>
      <c r="H53" s="2"/>
      <c r="I53" s="2"/>
      <c r="J53" s="22"/>
      <c r="K53" s="2"/>
      <c r="L53" s="2">
        <f t="shared" si="0"/>
        <v>19.95</v>
      </c>
      <c r="M53" s="2"/>
      <c r="N53" s="22">
        <f t="shared" si="1"/>
        <v>0</v>
      </c>
      <c r="O53" s="11"/>
      <c r="P53" s="2">
        <f>--389.7</f>
        <v>389.7</v>
      </c>
      <c r="Q53" s="2"/>
      <c r="R53" s="22"/>
      <c r="S53" s="2"/>
      <c r="T53" s="2"/>
      <c r="U53" s="2"/>
      <c r="V53" s="22"/>
      <c r="W53" s="2"/>
      <c r="X53" s="2">
        <f t="shared" si="2"/>
        <v>389.7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>--2800</f>
        <v>2800</v>
      </c>
      <c r="E54" s="2"/>
      <c r="F54" s="22"/>
      <c r="G54" s="2"/>
      <c r="H54" s="2"/>
      <c r="I54" s="2"/>
      <c r="J54" s="22"/>
      <c r="K54" s="2"/>
      <c r="L54" s="2">
        <f t="shared" si="0"/>
        <v>2800</v>
      </c>
      <c r="M54" s="2"/>
      <c r="N54" s="22">
        <f t="shared" si="1"/>
        <v>0</v>
      </c>
      <c r="O54" s="11"/>
      <c r="P54" s="2">
        <f>--38646</f>
        <v>38646</v>
      </c>
      <c r="Q54" s="2"/>
      <c r="R54" s="22"/>
      <c r="S54" s="2"/>
      <c r="T54" s="2"/>
      <c r="U54" s="2"/>
      <c r="V54" s="22"/>
      <c r="W54" s="2"/>
      <c r="X54" s="2">
        <f t="shared" si="2"/>
        <v>38646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--21.5</f>
        <v>21.5</v>
      </c>
      <c r="E55" s="2"/>
      <c r="F55" s="22"/>
      <c r="G55" s="2"/>
      <c r="H55" s="2"/>
      <c r="I55" s="2"/>
      <c r="J55" s="22"/>
      <c r="K55" s="2"/>
      <c r="L55" s="2">
        <f t="shared" si="0"/>
        <v>21.5</v>
      </c>
      <c r="M55" s="2"/>
      <c r="N55" s="22">
        <f t="shared" si="1"/>
        <v>0</v>
      </c>
      <c r="O55" s="11"/>
      <c r="P55" s="2">
        <f>--108</f>
        <v>108</v>
      </c>
      <c r="Q55" s="2"/>
      <c r="R55" s="22"/>
      <c r="S55" s="2"/>
      <c r="T55" s="2"/>
      <c r="U55" s="2"/>
      <c r="V55" s="22"/>
      <c r="W55" s="2"/>
      <c r="X55" s="2">
        <f t="shared" si="2"/>
        <v>108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"4147", " - ", "NON-TAXABLE SALES-MISC")</f>
        <v xml:space="preserve">          4147 - NON-TAXABLE SALES-MISC</v>
      </c>
      <c r="C56" s="11"/>
      <c r="D56" s="2">
        <f>--5</f>
        <v>5</v>
      </c>
      <c r="E56" s="2"/>
      <c r="F56" s="22"/>
      <c r="G56" s="2"/>
      <c r="H56" s="2"/>
      <c r="I56" s="2"/>
      <c r="J56" s="22"/>
      <c r="K56" s="2"/>
      <c r="L56" s="2">
        <f t="shared" si="0"/>
        <v>5</v>
      </c>
      <c r="M56" s="2"/>
      <c r="N56" s="22">
        <f t="shared" si="1"/>
        <v>0</v>
      </c>
      <c r="O56" s="11"/>
      <c r="P56" s="2">
        <f>--91.5</f>
        <v>91.5</v>
      </c>
      <c r="Q56" s="2"/>
      <c r="R56" s="22"/>
      <c r="S56" s="2"/>
      <c r="T56" s="2"/>
      <c r="U56" s="2"/>
      <c r="V56" s="22"/>
      <c r="W56" s="2"/>
      <c r="X56" s="2">
        <f t="shared" si="2"/>
        <v>91.5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"4201", " - ", "SALES RETURN TAXABLE-NEW TEXT")</f>
        <v xml:space="preserve">          4201 - SALES RETURN TAXABLE-NEW TEXT</v>
      </c>
      <c r="C57" s="11"/>
      <c r="D57" s="2">
        <f>-1333.42</f>
        <v>-1333.42</v>
      </c>
      <c r="E57" s="2"/>
      <c r="F57" s="22"/>
      <c r="G57" s="2"/>
      <c r="H57" s="2"/>
      <c r="I57" s="2"/>
      <c r="J57" s="22"/>
      <c r="K57" s="2"/>
      <c r="L57" s="2">
        <f t="shared" si="0"/>
        <v>-1333.42</v>
      </c>
      <c r="M57" s="2"/>
      <c r="N57" s="22">
        <f t="shared" si="1"/>
        <v>0</v>
      </c>
      <c r="O57" s="11"/>
      <c r="P57" s="2">
        <f>-35094.66</f>
        <v>-35094.660000000003</v>
      </c>
      <c r="Q57" s="2"/>
      <c r="R57" s="22"/>
      <c r="S57" s="2"/>
      <c r="T57" s="2"/>
      <c r="U57" s="2"/>
      <c r="V57" s="22"/>
      <c r="W57" s="2"/>
      <c r="X57" s="2">
        <f t="shared" si="2"/>
        <v>-35094.660000000003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"4202", " - ", "SALES RETURN TAXABLE-USED TEXT")</f>
        <v xml:space="preserve">          4202 - SALES RETURN TAXABLE-USED TEXT</v>
      </c>
      <c r="C58" s="11"/>
      <c r="D58" s="2">
        <f>-3274.35</f>
        <v>-3274.35</v>
      </c>
      <c r="E58" s="2"/>
      <c r="F58" s="22"/>
      <c r="G58" s="2"/>
      <c r="H58" s="2"/>
      <c r="I58" s="2"/>
      <c r="J58" s="22"/>
      <c r="K58" s="2"/>
      <c r="L58" s="2">
        <f t="shared" si="0"/>
        <v>-3274.35</v>
      </c>
      <c r="M58" s="2"/>
      <c r="N58" s="22">
        <f t="shared" si="1"/>
        <v>0</v>
      </c>
      <c r="O58" s="11"/>
      <c r="P58" s="2">
        <f>-13803.35</f>
        <v>-13803.35</v>
      </c>
      <c r="Q58" s="2"/>
      <c r="R58" s="22"/>
      <c r="S58" s="2"/>
      <c r="T58" s="2"/>
      <c r="U58" s="2"/>
      <c r="V58" s="22"/>
      <c r="W58" s="2"/>
      <c r="X58" s="2">
        <f t="shared" si="2"/>
        <v>-13803.35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"4204", " - ", "SALES RETURN TAXABLE-DIGITAL T")</f>
        <v xml:space="preserve">          4204 - SALES RETURN TAXABLE-DIGITAL T</v>
      </c>
      <c r="C59" s="11"/>
      <c r="D59" s="2">
        <f t="shared" ref="D59:D60" si="8">0</f>
        <v>0</v>
      </c>
      <c r="E59" s="2"/>
      <c r="F59" s="22"/>
      <c r="G59" s="2"/>
      <c r="H59" s="2"/>
      <c r="I59" s="2"/>
      <c r="J59" s="22"/>
      <c r="K59" s="2"/>
      <c r="L59" s="2">
        <f t="shared" si="0"/>
        <v>0</v>
      </c>
      <c r="M59" s="2"/>
      <c r="N59" s="22">
        <f t="shared" si="1"/>
        <v>0</v>
      </c>
      <c r="O59" s="11"/>
      <c r="P59" s="2">
        <f>-1630.85</f>
        <v>-1630.85</v>
      </c>
      <c r="Q59" s="2"/>
      <c r="R59" s="22"/>
      <c r="S59" s="2"/>
      <c r="T59" s="2"/>
      <c r="U59" s="2"/>
      <c r="V59" s="22"/>
      <c r="W59" s="2"/>
      <c r="X59" s="2">
        <f t="shared" si="2"/>
        <v>-1630.85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"4226", " - ", "SALES RETURN TAXABLE-WRITING I")</f>
        <v xml:space="preserve">          4226 - SALES RETURN TAXABLE-WRITING I</v>
      </c>
      <c r="C60" s="11"/>
      <c r="D60" s="2">
        <f t="shared" si="8"/>
        <v>0</v>
      </c>
      <c r="E60" s="2"/>
      <c r="F60" s="22"/>
      <c r="G60" s="2"/>
      <c r="H60" s="2"/>
      <c r="I60" s="2"/>
      <c r="J60" s="22"/>
      <c r="K60" s="2"/>
      <c r="L60" s="2">
        <f t="shared" si="0"/>
        <v>0</v>
      </c>
      <c r="M60" s="2"/>
      <c r="N60" s="22">
        <f t="shared" si="1"/>
        <v>0</v>
      </c>
      <c r="O60" s="11"/>
      <c r="P60" s="2">
        <f>-34.23</f>
        <v>-34.229999999999997</v>
      </c>
      <c r="Q60" s="2"/>
      <c r="R60" s="22"/>
      <c r="S60" s="2"/>
      <c r="T60" s="2"/>
      <c r="U60" s="2"/>
      <c r="V60" s="22"/>
      <c r="W60" s="2"/>
      <c r="X60" s="2">
        <f t="shared" si="2"/>
        <v>-34.229999999999997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"4227", " - ", "SALES RETURN TAXABLE-SCHOOL SU")</f>
        <v xml:space="preserve">          4227 - SALES RETURN TAXABLE-SCHOOL SU</v>
      </c>
      <c r="C61" s="11"/>
      <c r="D61" s="2">
        <f>-31.98</f>
        <v>-31.98</v>
      </c>
      <c r="E61" s="2"/>
      <c r="F61" s="22"/>
      <c r="G61" s="2"/>
      <c r="H61" s="2"/>
      <c r="I61" s="2"/>
      <c r="J61" s="22"/>
      <c r="K61" s="2"/>
      <c r="L61" s="2">
        <f t="shared" si="0"/>
        <v>-31.98</v>
      </c>
      <c r="M61" s="2"/>
      <c r="N61" s="22">
        <f t="shared" si="1"/>
        <v>0</v>
      </c>
      <c r="O61" s="11"/>
      <c r="P61" s="2">
        <f>-610.64</f>
        <v>-610.64</v>
      </c>
      <c r="Q61" s="2"/>
      <c r="R61" s="22"/>
      <c r="S61" s="2"/>
      <c r="T61" s="2"/>
      <c r="U61" s="2"/>
      <c r="V61" s="22"/>
      <c r="W61" s="2"/>
      <c r="X61" s="2">
        <f t="shared" si="2"/>
        <v>-610.64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"4228", " - ", "SALES RETURN TAXABLE-ART/TECH")</f>
        <v xml:space="preserve">          4228 - SALES RETURN TAXABLE-ART/TECH</v>
      </c>
      <c r="C62" s="11"/>
      <c r="D62" s="2">
        <f>-32.49</f>
        <v>-32.49</v>
      </c>
      <c r="E62" s="2"/>
      <c r="F62" s="22"/>
      <c r="G62" s="2"/>
      <c r="H62" s="2"/>
      <c r="I62" s="2"/>
      <c r="J62" s="22"/>
      <c r="K62" s="2"/>
      <c r="L62" s="2">
        <f t="shared" si="0"/>
        <v>-32.49</v>
      </c>
      <c r="M62" s="2"/>
      <c r="N62" s="22">
        <f t="shared" si="1"/>
        <v>0</v>
      </c>
      <c r="O62" s="11"/>
      <c r="P62" s="2">
        <f>-254.69</f>
        <v>-254.69</v>
      </c>
      <c r="Q62" s="2"/>
      <c r="R62" s="22"/>
      <c r="S62" s="2"/>
      <c r="T62" s="2"/>
      <c r="U62" s="2"/>
      <c r="V62" s="22"/>
      <c r="W62" s="2"/>
      <c r="X62" s="2">
        <f t="shared" si="2"/>
        <v>-254.69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"4240", " - ", "SALES RETURN TAXABLE-LOGO CLOT")</f>
        <v xml:space="preserve">          4240 - SALES RETURN TAXABLE-LOGO CLOT</v>
      </c>
      <c r="C63" s="11"/>
      <c r="D63" s="2">
        <f>-1729.15</f>
        <v>-1729.15</v>
      </c>
      <c r="E63" s="2"/>
      <c r="F63" s="22"/>
      <c r="G63" s="2"/>
      <c r="H63" s="2"/>
      <c r="I63" s="2"/>
      <c r="J63" s="22"/>
      <c r="K63" s="2"/>
      <c r="L63" s="2">
        <f t="shared" si="0"/>
        <v>-1729.15</v>
      </c>
      <c r="M63" s="2"/>
      <c r="N63" s="22">
        <f t="shared" si="1"/>
        <v>0</v>
      </c>
      <c r="O63" s="11"/>
      <c r="P63" s="2">
        <f>-15578.67</f>
        <v>-15578.67</v>
      </c>
      <c r="Q63" s="2"/>
      <c r="R63" s="22"/>
      <c r="S63" s="2"/>
      <c r="T63" s="2"/>
      <c r="U63" s="2"/>
      <c r="V63" s="22"/>
      <c r="W63" s="2"/>
      <c r="X63" s="2">
        <f t="shared" si="2"/>
        <v>-15578.67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"4241", " - ", "SALES RETURN TAXABLE-LOGO GIFT")</f>
        <v xml:space="preserve">          4241 - SALES RETURN TAXABLE-LOGO GIFT</v>
      </c>
      <c r="C64" s="11"/>
      <c r="D64" s="2">
        <f>-108.29</f>
        <v>-108.29</v>
      </c>
      <c r="E64" s="2"/>
      <c r="F64" s="22"/>
      <c r="G64" s="2"/>
      <c r="H64" s="2"/>
      <c r="I64" s="2"/>
      <c r="J64" s="22"/>
      <c r="K64" s="2"/>
      <c r="L64" s="2">
        <f t="shared" si="0"/>
        <v>-108.29</v>
      </c>
      <c r="M64" s="2"/>
      <c r="N64" s="22">
        <f t="shared" si="1"/>
        <v>0</v>
      </c>
      <c r="O64" s="11"/>
      <c r="P64" s="2">
        <f>-2804.85</f>
        <v>-2804.85</v>
      </c>
      <c r="Q64" s="2"/>
      <c r="R64" s="22"/>
      <c r="S64" s="2"/>
      <c r="T64" s="2"/>
      <c r="U64" s="2"/>
      <c r="V64" s="22"/>
      <c r="W64" s="2"/>
      <c r="X64" s="2">
        <f t="shared" si="2"/>
        <v>-2804.85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"4242", " - ", "SALES RETURN TAXABLE-EVERYDAY")</f>
        <v xml:space="preserve">          4242 - SALES RETURN TAXABLE-EVERYDAY</v>
      </c>
      <c r="C65" s="11"/>
      <c r="D65" s="2">
        <f>-7.48</f>
        <v>-7.48</v>
      </c>
      <c r="E65" s="2"/>
      <c r="F65" s="22"/>
      <c r="G65" s="2"/>
      <c r="H65" s="2"/>
      <c r="I65" s="2"/>
      <c r="J65" s="22"/>
      <c r="K65" s="2"/>
      <c r="L65" s="2">
        <f t="shared" si="0"/>
        <v>-7.48</v>
      </c>
      <c r="M65" s="2"/>
      <c r="N65" s="22">
        <f t="shared" si="1"/>
        <v>0</v>
      </c>
      <c r="O65" s="11"/>
      <c r="P65" s="2">
        <f>-1328.99</f>
        <v>-1328.99</v>
      </c>
      <c r="Q65" s="2"/>
      <c r="R65" s="22"/>
      <c r="S65" s="2"/>
      <c r="T65" s="2"/>
      <c r="U65" s="2"/>
      <c r="V65" s="22"/>
      <c r="W65" s="2"/>
      <c r="X65" s="2">
        <f t="shared" si="2"/>
        <v>-1328.99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"4243", " - ", "SALES RETURN TAXABLE-CARDS")</f>
        <v xml:space="preserve">          4243 - SALES RETURN TAXABLE-CARDS</v>
      </c>
      <c r="C66" s="11"/>
      <c r="D66" s="2">
        <f>-829.54</f>
        <v>-829.54</v>
      </c>
      <c r="E66" s="2"/>
      <c r="F66" s="22"/>
      <c r="G66" s="2"/>
      <c r="H66" s="2"/>
      <c r="I66" s="2"/>
      <c r="J66" s="22"/>
      <c r="K66" s="2"/>
      <c r="L66" s="2">
        <f t="shared" si="0"/>
        <v>-829.54</v>
      </c>
      <c r="M66" s="2"/>
      <c r="N66" s="22">
        <f t="shared" si="1"/>
        <v>0</v>
      </c>
      <c r="O66" s="11"/>
      <c r="P66" s="2">
        <f>-1812.46</f>
        <v>-1812.46</v>
      </c>
      <c r="Q66" s="2"/>
      <c r="R66" s="22"/>
      <c r="S66" s="2"/>
      <c r="T66" s="2"/>
      <c r="U66" s="2"/>
      <c r="V66" s="22"/>
      <c r="W66" s="2"/>
      <c r="X66" s="2">
        <f t="shared" si="2"/>
        <v>-1812.46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"4244", " - ", "SALES RETURN TAXABLE-ACCESSORI")</f>
        <v xml:space="preserve">          4244 - SALES RETURN TAXABLE-ACCESSORI</v>
      </c>
      <c r="C67" s="11"/>
      <c r="D67" s="2">
        <f>-179.95</f>
        <v>-179.95</v>
      </c>
      <c r="E67" s="2"/>
      <c r="F67" s="22"/>
      <c r="G67" s="2"/>
      <c r="H67" s="2"/>
      <c r="I67" s="2"/>
      <c r="J67" s="22"/>
      <c r="K67" s="2"/>
      <c r="L67" s="2">
        <f t="shared" si="0"/>
        <v>-179.95</v>
      </c>
      <c r="M67" s="2"/>
      <c r="N67" s="22">
        <f t="shared" si="1"/>
        <v>0</v>
      </c>
      <c r="O67" s="11"/>
      <c r="P67" s="2">
        <f>-590.94</f>
        <v>-590.94000000000005</v>
      </c>
      <c r="Q67" s="2"/>
      <c r="R67" s="22"/>
      <c r="S67" s="2"/>
      <c r="T67" s="2"/>
      <c r="U67" s="2"/>
      <c r="V67" s="22"/>
      <c r="W67" s="2"/>
      <c r="X67" s="2">
        <f t="shared" si="2"/>
        <v>-590.94000000000005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"4245", " - ", "SALES RETURN TAXABLE-SPECIAL O")</f>
        <v xml:space="preserve">          4245 - SALES RETURN TAXABLE-SPECIAL O</v>
      </c>
      <c r="C68" s="11"/>
      <c r="D68" s="2">
        <f>-45.89</f>
        <v>-45.89</v>
      </c>
      <c r="E68" s="2"/>
      <c r="F68" s="22"/>
      <c r="G68" s="2"/>
      <c r="H68" s="2"/>
      <c r="I68" s="2"/>
      <c r="J68" s="22"/>
      <c r="K68" s="2"/>
      <c r="L68" s="2">
        <f t="shared" si="0"/>
        <v>-45.89</v>
      </c>
      <c r="M68" s="2"/>
      <c r="N68" s="22">
        <f t="shared" si="1"/>
        <v>0</v>
      </c>
      <c r="O68" s="11"/>
      <c r="P68" s="2">
        <f>-1592.82</f>
        <v>-1592.82</v>
      </c>
      <c r="Q68" s="2"/>
      <c r="R68" s="22"/>
      <c r="S68" s="2"/>
      <c r="T68" s="2"/>
      <c r="U68" s="2"/>
      <c r="V68" s="22"/>
      <c r="W68" s="2"/>
      <c r="X68" s="2">
        <f t="shared" si="2"/>
        <v>-1592.82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"4301", " - ", "SALES RETURN NON TAXABLE-NEW T")</f>
        <v xml:space="preserve">          4301 - SALES RETURN NON TAXABLE-NEW T</v>
      </c>
      <c r="C69" s="11"/>
      <c r="D69" s="2">
        <f>0</f>
        <v>0</v>
      </c>
      <c r="E69" s="2"/>
      <c r="F69" s="22"/>
      <c r="G69" s="2"/>
      <c r="H69" s="2"/>
      <c r="I69" s="2"/>
      <c r="J69" s="22"/>
      <c r="K69" s="2"/>
      <c r="L69" s="2">
        <f t="shared" si="0"/>
        <v>0</v>
      </c>
      <c r="M69" s="2"/>
      <c r="N69" s="22">
        <f t="shared" si="1"/>
        <v>0</v>
      </c>
      <c r="O69" s="11"/>
      <c r="P69" s="2">
        <f>-2376.17</f>
        <v>-2376.17</v>
      </c>
      <c r="Q69" s="2"/>
      <c r="R69" s="22"/>
      <c r="S69" s="2"/>
      <c r="T69" s="2"/>
      <c r="U69" s="2"/>
      <c r="V69" s="22"/>
      <c r="W69" s="2"/>
      <c r="X69" s="2">
        <f t="shared" si="2"/>
        <v>-2376.17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"4302", " - ", "SALES RETURN NON TAXABLE-TEXT")</f>
        <v xml:space="preserve">          4302 - SALES RETURN NON TAXABLE-TEXT</v>
      </c>
      <c r="C70" s="11"/>
      <c r="D70" s="2">
        <f>-76.05</f>
        <v>-76.05</v>
      </c>
      <c r="E70" s="2"/>
      <c r="F70" s="22"/>
      <c r="G70" s="2"/>
      <c r="H70" s="2"/>
      <c r="I70" s="2"/>
      <c r="J70" s="22"/>
      <c r="K70" s="2"/>
      <c r="L70" s="2">
        <f t="shared" si="0"/>
        <v>-76.05</v>
      </c>
      <c r="M70" s="2"/>
      <c r="N70" s="22">
        <f t="shared" si="1"/>
        <v>0</v>
      </c>
      <c r="O70" s="11"/>
      <c r="P70" s="2">
        <f>-1392.85</f>
        <v>-1392.85</v>
      </c>
      <c r="Q70" s="2"/>
      <c r="R70" s="22"/>
      <c r="S70" s="2"/>
      <c r="T70" s="2"/>
      <c r="U70" s="2"/>
      <c r="V70" s="22"/>
      <c r="W70" s="2"/>
      <c r="X70" s="2">
        <f t="shared" si="2"/>
        <v>-1392.85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"4304", " - ", "SALES RETURN NON TAXABLE-DIGIT")</f>
        <v xml:space="preserve">          4304 - SALES RETURN NON TAXABLE-DIGIT</v>
      </c>
      <c r="C71" s="11"/>
      <c r="D71" s="2">
        <f>-176.43</f>
        <v>-176.43</v>
      </c>
      <c r="E71" s="2"/>
      <c r="F71" s="22"/>
      <c r="G71" s="2"/>
      <c r="H71" s="2"/>
      <c r="I71" s="2"/>
      <c r="J71" s="22"/>
      <c r="K71" s="2"/>
      <c r="L71" s="2">
        <f t="shared" si="0"/>
        <v>-176.43</v>
      </c>
      <c r="M71" s="2"/>
      <c r="N71" s="22">
        <f t="shared" si="1"/>
        <v>0</v>
      </c>
      <c r="O71" s="11"/>
      <c r="P71" s="2">
        <f>-14278.54</f>
        <v>-14278.54</v>
      </c>
      <c r="Q71" s="2"/>
      <c r="R71" s="22"/>
      <c r="S71" s="2"/>
      <c r="T71" s="2"/>
      <c r="U71" s="2"/>
      <c r="V71" s="22"/>
      <c r="W71" s="2"/>
      <c r="X71" s="2">
        <f t="shared" si="2"/>
        <v>-14278.54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"4340", " - ", "SALES RETURN NON TAXABLE-LOGO")</f>
        <v xml:space="preserve">          4340 - SALES RETURN NON TAXABLE-LOGO</v>
      </c>
      <c r="C72" s="11"/>
      <c r="D72" s="2">
        <f>-203.75</f>
        <v>-203.75</v>
      </c>
      <c r="E72" s="2"/>
      <c r="F72" s="22"/>
      <c r="G72" s="2"/>
      <c r="H72" s="2"/>
      <c r="I72" s="2"/>
      <c r="J72" s="22"/>
      <c r="K72" s="2"/>
      <c r="L72" s="2">
        <f t="shared" si="0"/>
        <v>-203.75</v>
      </c>
      <c r="M72" s="2"/>
      <c r="N72" s="22">
        <f t="shared" si="1"/>
        <v>0</v>
      </c>
      <c r="O72" s="11"/>
      <c r="P72" s="2">
        <f>-940.48</f>
        <v>-940.48</v>
      </c>
      <c r="Q72" s="2"/>
      <c r="R72" s="22"/>
      <c r="S72" s="2"/>
      <c r="T72" s="2"/>
      <c r="U72" s="2"/>
      <c r="V72" s="22"/>
      <c r="W72" s="2"/>
      <c r="X72" s="2">
        <f t="shared" si="2"/>
        <v>-940.48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"4341", " - ", "SALES RETURN NON TAXABLE-LOGO")</f>
        <v xml:space="preserve">          4341 - SALES RETURN NON TAXABLE-LOGO</v>
      </c>
      <c r="C73" s="11"/>
      <c r="D73" s="2">
        <f>-154.89</f>
        <v>-154.88999999999999</v>
      </c>
      <c r="E73" s="2"/>
      <c r="F73" s="22"/>
      <c r="G73" s="2"/>
      <c r="H73" s="2"/>
      <c r="I73" s="2"/>
      <c r="J73" s="22"/>
      <c r="K73" s="2"/>
      <c r="L73" s="2">
        <f t="shared" si="0"/>
        <v>-154.88999999999999</v>
      </c>
      <c r="M73" s="2"/>
      <c r="N73" s="22">
        <f t="shared" si="1"/>
        <v>0</v>
      </c>
      <c r="O73" s="11"/>
      <c r="P73" s="2">
        <f>-301.79</f>
        <v>-301.79000000000002</v>
      </c>
      <c r="Q73" s="2"/>
      <c r="R73" s="22"/>
      <c r="S73" s="2"/>
      <c r="T73" s="2"/>
      <c r="U73" s="2"/>
      <c r="V73" s="22"/>
      <c r="W73" s="2"/>
      <c r="X73" s="2">
        <f t="shared" si="2"/>
        <v>-301.79000000000002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"4342", " - ", "SALES RETURN NON TAXABLE-EVERY")</f>
        <v xml:space="preserve">          4342 - SALES RETURN NON TAXABLE-EVERY</v>
      </c>
      <c r="C74" s="11"/>
      <c r="D74" s="2">
        <f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-118.7</f>
        <v>-118.7</v>
      </c>
      <c r="Q74" s="2"/>
      <c r="R74" s="22"/>
      <c r="S74" s="2"/>
      <c r="T74" s="2"/>
      <c r="U74" s="2"/>
      <c r="V74" s="22"/>
      <c r="W74" s="2"/>
      <c r="X74" s="2">
        <f t="shared" si="2"/>
        <v>-118.7</v>
      </c>
      <c r="Y74" s="2"/>
      <c r="Z74" s="22">
        <f t="shared" si="3"/>
        <v>0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collapsed="1" x14ac:dyDescent="0.25">
      <c r="A76" s="10"/>
      <c r="B76" s="26" t="s">
        <v>8</v>
      </c>
      <c r="C76" s="10"/>
      <c r="D76" s="4">
        <f>SUM(OSRRefD16x_0)</f>
        <v>61344.100000000013</v>
      </c>
      <c r="E76" s="4"/>
      <c r="F76" s="12">
        <f t="shared" ref="F76:F110" si="9">IF(D$12=0,0,D76/D$12)</f>
        <v>0.55278570415451878</v>
      </c>
      <c r="G76" s="4"/>
      <c r="H76" s="4">
        <f>SUM(OSRRefH16x_0)</f>
        <v>161526</v>
      </c>
      <c r="I76" s="4"/>
      <c r="J76" s="12">
        <f t="shared" ref="J76:J110" si="10">IF(H$12=0,0,H76/H$12)</f>
        <v>0.45601375443589026</v>
      </c>
      <c r="K76" s="4"/>
      <c r="L76" s="4">
        <f t="shared" ref="L76:L110" si="11">+D76-H76</f>
        <v>-100181.9</v>
      </c>
      <c r="M76" s="4"/>
      <c r="N76" s="12">
        <f t="shared" ref="N76:N110" si="12">IF(H76=0,0,L76/H76)</f>
        <v>-0.62022151232618894</v>
      </c>
      <c r="O76" s="10"/>
      <c r="P76" s="4">
        <f>SUM(OSRRefP16x_0)</f>
        <v>1601774.0300000005</v>
      </c>
      <c r="Q76" s="4"/>
      <c r="R76" s="12">
        <f t="shared" ref="R76:R110" si="13">IF(P$12=0,0,P76/P$12)</f>
        <v>0.64981141126933262</v>
      </c>
      <c r="S76" s="4"/>
      <c r="T76" s="4">
        <f>SUM(OSRRefT16x_0)</f>
        <v>2634420</v>
      </c>
      <c r="U76" s="4"/>
      <c r="V76" s="12">
        <f t="shared" ref="V76:V110" si="14">IF(T$12=0,0,T76/T$12)</f>
        <v>0.6069250302147029</v>
      </c>
      <c r="W76" s="4"/>
      <c r="X76" s="4">
        <f t="shared" ref="X76:X110" si="15">+P76-T76</f>
        <v>-1032645.9699999995</v>
      </c>
      <c r="Y76" s="4"/>
      <c r="Z76" s="12">
        <f t="shared" ref="Z76:Z110" si="16">IF(T76=0,0,X76/T76)</f>
        <v>-0.39198228452562595</v>
      </c>
    </row>
    <row r="77" spans="1:26" s="24" customFormat="1" hidden="1" outlineLevel="1" x14ac:dyDescent="0.25">
      <c r="A77" s="51"/>
      <c r="B77" s="11" t="str">
        <f>CONCATENATE("          ", "5000", " - ", "PURCHASES @ COST")</f>
        <v xml:space="preserve">          5000 - PURCHASES @ COST</v>
      </c>
      <c r="C77" s="11"/>
      <c r="D77" s="2"/>
      <c r="E77" s="2"/>
      <c r="F77" s="22">
        <f t="shared" si="9"/>
        <v>0</v>
      </c>
      <c r="G77" s="2"/>
      <c r="H77" s="2">
        <v>161526</v>
      </c>
      <c r="I77" s="2"/>
      <c r="J77" s="22">
        <f t="shared" si="10"/>
        <v>0.45601375443589026</v>
      </c>
      <c r="K77" s="2"/>
      <c r="L77" s="2">
        <f t="shared" si="11"/>
        <v>-161526</v>
      </c>
      <c r="M77" s="2"/>
      <c r="N77" s="22">
        <f t="shared" si="12"/>
        <v>-1</v>
      </c>
      <c r="O77" s="11"/>
      <c r="P77" s="2"/>
      <c r="Q77" s="2"/>
      <c r="R77" s="22">
        <f t="shared" si="13"/>
        <v>0</v>
      </c>
      <c r="S77" s="2"/>
      <c r="T77" s="2">
        <v>2634420</v>
      </c>
      <c r="U77" s="2"/>
      <c r="V77" s="22">
        <f t="shared" si="14"/>
        <v>0.6069250302147029</v>
      </c>
      <c r="W77" s="2"/>
      <c r="X77" s="2">
        <f t="shared" si="15"/>
        <v>-2634420</v>
      </c>
      <c r="Y77" s="2"/>
      <c r="Z77" s="22">
        <f t="shared" si="16"/>
        <v>-1</v>
      </c>
    </row>
    <row r="78" spans="1:26" s="24" customFormat="1" hidden="1" outlineLevel="1" x14ac:dyDescent="0.25">
      <c r="A78" s="51"/>
      <c r="B78" s="11" t="str">
        <f>CONCATENATE("          ", "5001", " - ", "PURCHASES @ COST-NEW TEXT")</f>
        <v xml:space="preserve">          5001 - PURCHASES @ COST-NEW TEXT</v>
      </c>
      <c r="C78" s="11"/>
      <c r="D78" s="2">
        <v>-108601.35</v>
      </c>
      <c r="E78" s="2"/>
      <c r="F78" s="22">
        <f t="shared" si="9"/>
        <v>-0.978631583671149</v>
      </c>
      <c r="G78" s="2"/>
      <c r="H78" s="2"/>
      <c r="I78" s="2"/>
      <c r="J78" s="22">
        <f t="shared" si="10"/>
        <v>0</v>
      </c>
      <c r="K78" s="2"/>
      <c r="L78" s="2">
        <f t="shared" si="11"/>
        <v>-108601.35</v>
      </c>
      <c r="M78" s="2"/>
      <c r="N78" s="22">
        <f t="shared" si="12"/>
        <v>0</v>
      </c>
      <c r="O78" s="11"/>
      <c r="P78" s="2">
        <v>1240595.48</v>
      </c>
      <c r="Q78" s="2"/>
      <c r="R78" s="22">
        <f t="shared" si="13"/>
        <v>0.50328765766863814</v>
      </c>
      <c r="S78" s="2"/>
      <c r="T78" s="2"/>
      <c r="U78" s="2"/>
      <c r="V78" s="22">
        <f t="shared" si="14"/>
        <v>0</v>
      </c>
      <c r="W78" s="2"/>
      <c r="X78" s="2">
        <f t="shared" si="15"/>
        <v>1240595.48</v>
      </c>
      <c r="Y78" s="2"/>
      <c r="Z78" s="22">
        <f t="shared" si="16"/>
        <v>0</v>
      </c>
    </row>
    <row r="79" spans="1:26" s="24" customFormat="1" hidden="1" outlineLevel="1" x14ac:dyDescent="0.25">
      <c r="A79" s="51"/>
      <c r="B79" s="11" t="str">
        <f>CONCATENATE("          ", "5002", " - ", "PURCHASES @ COST-USED TEXT")</f>
        <v xml:space="preserve">          5002 - PURCHASES @ COST-USED TEXT</v>
      </c>
      <c r="C79" s="11"/>
      <c r="D79" s="2">
        <v>-208829.28</v>
      </c>
      <c r="E79" s="2"/>
      <c r="F79" s="22">
        <f t="shared" si="9"/>
        <v>-1.8818083661327027</v>
      </c>
      <c r="G79" s="2"/>
      <c r="H79" s="2"/>
      <c r="I79" s="2"/>
      <c r="J79" s="22">
        <f t="shared" si="10"/>
        <v>0</v>
      </c>
      <c r="K79" s="2"/>
      <c r="L79" s="2">
        <f t="shared" si="11"/>
        <v>-208829.28</v>
      </c>
      <c r="M79" s="2"/>
      <c r="N79" s="22">
        <f t="shared" si="12"/>
        <v>0</v>
      </c>
      <c r="O79" s="11"/>
      <c r="P79" s="2">
        <v>94234.05</v>
      </c>
      <c r="Q79" s="2"/>
      <c r="R79" s="22">
        <f t="shared" si="13"/>
        <v>3.8229088418998053E-2</v>
      </c>
      <c r="S79" s="2"/>
      <c r="T79" s="2"/>
      <c r="U79" s="2"/>
      <c r="V79" s="22">
        <f t="shared" si="14"/>
        <v>0</v>
      </c>
      <c r="W79" s="2"/>
      <c r="X79" s="2">
        <f t="shared" si="15"/>
        <v>94234.05</v>
      </c>
      <c r="Y79" s="2"/>
      <c r="Z79" s="22">
        <f t="shared" si="16"/>
        <v>0</v>
      </c>
    </row>
    <row r="80" spans="1:26" s="24" customFormat="1" hidden="1" outlineLevel="1" x14ac:dyDescent="0.25">
      <c r="A80" s="51"/>
      <c r="B80" s="11" t="str">
        <f>CONCATENATE("          ", "5003", " - ", "PURCHASES @ COST-RENTAL TEXT")</f>
        <v xml:space="preserve">          5003 - PURCHASES @ COST-RENTAL TEXT</v>
      </c>
      <c r="C80" s="11"/>
      <c r="D80" s="2">
        <v>517.92999999999995</v>
      </c>
      <c r="E80" s="2"/>
      <c r="F80" s="22">
        <f t="shared" si="9"/>
        <v>4.6671855932803614E-3</v>
      </c>
      <c r="G80" s="2"/>
      <c r="H80" s="2"/>
      <c r="I80" s="2"/>
      <c r="J80" s="22">
        <f t="shared" si="10"/>
        <v>0</v>
      </c>
      <c r="K80" s="2"/>
      <c r="L80" s="2">
        <f t="shared" si="11"/>
        <v>517.92999999999995</v>
      </c>
      <c r="M80" s="2"/>
      <c r="N80" s="22">
        <f t="shared" si="12"/>
        <v>0</v>
      </c>
      <c r="O80" s="11"/>
      <c r="P80" s="2">
        <v>32.520000000000003</v>
      </c>
      <c r="Q80" s="2"/>
      <c r="R80" s="22">
        <f t="shared" si="13"/>
        <v>1.3192789181679199E-5</v>
      </c>
      <c r="S80" s="2"/>
      <c r="T80" s="2"/>
      <c r="U80" s="2"/>
      <c r="V80" s="22">
        <f t="shared" si="14"/>
        <v>0</v>
      </c>
      <c r="W80" s="2"/>
      <c r="X80" s="2">
        <f t="shared" si="15"/>
        <v>32.520000000000003</v>
      </c>
      <c r="Y80" s="2"/>
      <c r="Z80" s="22">
        <f t="shared" si="16"/>
        <v>0</v>
      </c>
    </row>
    <row r="81" spans="1:26" s="24" customFormat="1" hidden="1" outlineLevel="1" x14ac:dyDescent="0.25">
      <c r="A81" s="51"/>
      <c r="B81" s="11" t="str">
        <f>CONCATENATE("          ", "5004", " - ", "PURCHASES @ COST-DIGITAL TEXT")</f>
        <v xml:space="preserve">          5004 - PURCHASES @ COST-DIGITAL TEXT</v>
      </c>
      <c r="C81" s="11"/>
      <c r="D81" s="2">
        <v>1418.58</v>
      </c>
      <c r="E81" s="2"/>
      <c r="F81" s="22">
        <f t="shared" si="9"/>
        <v>1.2783148570107263E-2</v>
      </c>
      <c r="G81" s="2"/>
      <c r="H81" s="2"/>
      <c r="I81" s="2"/>
      <c r="J81" s="22">
        <f t="shared" si="10"/>
        <v>0</v>
      </c>
      <c r="K81" s="2"/>
      <c r="L81" s="2">
        <f t="shared" si="11"/>
        <v>1418.58</v>
      </c>
      <c r="M81" s="2"/>
      <c r="N81" s="22">
        <f t="shared" si="12"/>
        <v>0</v>
      </c>
      <c r="O81" s="11"/>
      <c r="P81" s="2">
        <v>196938.11000000002</v>
      </c>
      <c r="Q81" s="2"/>
      <c r="R81" s="22">
        <f t="shared" si="13"/>
        <v>7.9894310180453509E-2</v>
      </c>
      <c r="S81" s="2"/>
      <c r="T81" s="2"/>
      <c r="U81" s="2"/>
      <c r="V81" s="22">
        <f t="shared" si="14"/>
        <v>0</v>
      </c>
      <c r="W81" s="2"/>
      <c r="X81" s="2">
        <f t="shared" si="15"/>
        <v>196938.11000000002</v>
      </c>
      <c r="Y81" s="2"/>
      <c r="Z81" s="22">
        <f t="shared" si="16"/>
        <v>0</v>
      </c>
    </row>
    <row r="82" spans="1:26" s="24" customFormat="1" hidden="1" outlineLevel="1" x14ac:dyDescent="0.25">
      <c r="A82" s="51"/>
      <c r="B82" s="11" t="str">
        <f>CONCATENATE("          ", "5011", " - ", "PURCHASES @ COST-NO VALUE TEXT")</f>
        <v xml:space="preserve">          5011 - PURCHASES @ COST-NO VALUE TEXT</v>
      </c>
      <c r="C82" s="11"/>
      <c r="D82" s="2"/>
      <c r="E82" s="2"/>
      <c r="F82" s="22">
        <f t="shared" si="9"/>
        <v>0</v>
      </c>
      <c r="G82" s="2"/>
      <c r="H82" s="2"/>
      <c r="I82" s="2"/>
      <c r="J82" s="22">
        <f t="shared" si="10"/>
        <v>0</v>
      </c>
      <c r="K82" s="2"/>
      <c r="L82" s="2">
        <f t="shared" si="11"/>
        <v>0</v>
      </c>
      <c r="M82" s="2"/>
      <c r="N82" s="22">
        <f t="shared" si="12"/>
        <v>0</v>
      </c>
      <c r="O82" s="11"/>
      <c r="P82" s="2">
        <v>67.17</v>
      </c>
      <c r="Q82" s="2"/>
      <c r="R82" s="22">
        <f t="shared" si="13"/>
        <v>2.7249681713818936E-5</v>
      </c>
      <c r="S82" s="2"/>
      <c r="T82" s="2"/>
      <c r="U82" s="2"/>
      <c r="V82" s="22">
        <f t="shared" si="14"/>
        <v>0</v>
      </c>
      <c r="W82" s="2"/>
      <c r="X82" s="2">
        <f t="shared" si="15"/>
        <v>67.17</v>
      </c>
      <c r="Y82" s="2"/>
      <c r="Z82" s="22">
        <f t="shared" si="16"/>
        <v>0</v>
      </c>
    </row>
    <row r="83" spans="1:26" s="24" customFormat="1" hidden="1" outlineLevel="1" x14ac:dyDescent="0.25">
      <c r="A83" s="51"/>
      <c r="B83" s="11" t="str">
        <f>CONCATENATE("          ", "5013", " - ", "PURCHASES @ COST-TRADE BOOKS")</f>
        <v xml:space="preserve">          5013 - PURCHASES @ COST-TRADE BOOKS</v>
      </c>
      <c r="C83" s="11"/>
      <c r="D83" s="2">
        <v>611.1</v>
      </c>
      <c r="E83" s="2"/>
      <c r="F83" s="22">
        <f t="shared" si="9"/>
        <v>5.5067617555531233E-3</v>
      </c>
      <c r="G83" s="2"/>
      <c r="H83" s="2"/>
      <c r="I83" s="2"/>
      <c r="J83" s="22">
        <f t="shared" si="10"/>
        <v>0</v>
      </c>
      <c r="K83" s="2"/>
      <c r="L83" s="2">
        <f t="shared" si="11"/>
        <v>611.1</v>
      </c>
      <c r="M83" s="2"/>
      <c r="N83" s="22">
        <f t="shared" si="12"/>
        <v>0</v>
      </c>
      <c r="O83" s="11"/>
      <c r="P83" s="2">
        <v>2094.7399999999998</v>
      </c>
      <c r="Q83" s="2"/>
      <c r="R83" s="22">
        <f t="shared" si="13"/>
        <v>8.4979899171066056E-4</v>
      </c>
      <c r="S83" s="2"/>
      <c r="T83" s="2"/>
      <c r="U83" s="2"/>
      <c r="V83" s="22">
        <f t="shared" si="14"/>
        <v>0</v>
      </c>
      <c r="W83" s="2"/>
      <c r="X83" s="2">
        <f t="shared" si="15"/>
        <v>2094.7399999999998</v>
      </c>
      <c r="Y83" s="2"/>
      <c r="Z83" s="22">
        <f t="shared" si="16"/>
        <v>0</v>
      </c>
    </row>
    <row r="84" spans="1:26" s="24" customFormat="1" hidden="1" outlineLevel="1" x14ac:dyDescent="0.25">
      <c r="A84" s="51"/>
      <c r="B84" s="11" t="str">
        <f>CONCATENATE("          ", "5014", " - ", "PURCHASES @ COST-REMAINDERS")</f>
        <v xml:space="preserve">          5014 - PURCHASES @ COST-REMAINDERS</v>
      </c>
      <c r="C84" s="11"/>
      <c r="D84" s="2"/>
      <c r="E84" s="2"/>
      <c r="F84" s="22">
        <f t="shared" si="9"/>
        <v>0</v>
      </c>
      <c r="G84" s="2"/>
      <c r="H84" s="2"/>
      <c r="I84" s="2"/>
      <c r="J84" s="22">
        <f t="shared" si="10"/>
        <v>0</v>
      </c>
      <c r="K84" s="2"/>
      <c r="L84" s="2">
        <f t="shared" si="11"/>
        <v>0</v>
      </c>
      <c r="M84" s="2"/>
      <c r="N84" s="22">
        <f t="shared" si="12"/>
        <v>0</v>
      </c>
      <c r="O84" s="11"/>
      <c r="P84" s="2">
        <v>90.41</v>
      </c>
      <c r="Q84" s="2"/>
      <c r="R84" s="22">
        <f t="shared" si="13"/>
        <v>3.6677738927294476E-5</v>
      </c>
      <c r="S84" s="2"/>
      <c r="T84" s="2"/>
      <c r="U84" s="2"/>
      <c r="V84" s="22">
        <f t="shared" si="14"/>
        <v>0</v>
      </c>
      <c r="W84" s="2"/>
      <c r="X84" s="2">
        <f t="shared" si="15"/>
        <v>90.41</v>
      </c>
      <c r="Y84" s="2"/>
      <c r="Z84" s="22">
        <f t="shared" si="16"/>
        <v>0</v>
      </c>
    </row>
    <row r="85" spans="1:26" s="24" customFormat="1" hidden="1" outlineLevel="1" x14ac:dyDescent="0.25">
      <c r="A85" s="51"/>
      <c r="B85" s="11" t="str">
        <f>CONCATENATE("          ", "5018", " - ", "PURCHASES @ COST-STUDY GUIDES")</f>
        <v xml:space="preserve">          5018 - PURCHASES @ COST-STUDY GUIDES</v>
      </c>
      <c r="C85" s="11"/>
      <c r="D85" s="2">
        <v>106.34</v>
      </c>
      <c r="E85" s="2"/>
      <c r="F85" s="22">
        <f t="shared" si="9"/>
        <v>9.5825404203161361E-4</v>
      </c>
      <c r="G85" s="2"/>
      <c r="H85" s="2"/>
      <c r="I85" s="2"/>
      <c r="J85" s="22">
        <f t="shared" si="10"/>
        <v>0</v>
      </c>
      <c r="K85" s="2"/>
      <c r="L85" s="2">
        <f t="shared" si="11"/>
        <v>106.34</v>
      </c>
      <c r="M85" s="2"/>
      <c r="N85" s="22">
        <f t="shared" si="12"/>
        <v>0</v>
      </c>
      <c r="O85" s="11"/>
      <c r="P85" s="2">
        <v>106.34</v>
      </c>
      <c r="Q85" s="2"/>
      <c r="R85" s="22">
        <f t="shared" si="13"/>
        <v>4.3140258351161316E-5</v>
      </c>
      <c r="S85" s="2"/>
      <c r="T85" s="2"/>
      <c r="U85" s="2"/>
      <c r="V85" s="22">
        <f t="shared" si="14"/>
        <v>0</v>
      </c>
      <c r="W85" s="2"/>
      <c r="X85" s="2">
        <f t="shared" si="15"/>
        <v>106.34</v>
      </c>
      <c r="Y85" s="2"/>
      <c r="Z85" s="22">
        <f t="shared" si="16"/>
        <v>0</v>
      </c>
    </row>
    <row r="86" spans="1:26" s="24" customFormat="1" hidden="1" outlineLevel="1" x14ac:dyDescent="0.25">
      <c r="A86" s="51"/>
      <c r="B86" s="11" t="str">
        <f>CONCATENATE("          ", "5025", " - ", "PURCHASES @ COST-TEST FORMS")</f>
        <v xml:space="preserve">          5025 - PURCHASES @ COST-TEST FORMS</v>
      </c>
      <c r="C86" s="11"/>
      <c r="D86" s="2"/>
      <c r="E86" s="2"/>
      <c r="F86" s="22">
        <f t="shared" si="9"/>
        <v>0</v>
      </c>
      <c r="G86" s="2"/>
      <c r="H86" s="2"/>
      <c r="I86" s="2"/>
      <c r="J86" s="22">
        <f t="shared" si="10"/>
        <v>0</v>
      </c>
      <c r="K86" s="2"/>
      <c r="L86" s="2">
        <f t="shared" si="11"/>
        <v>0</v>
      </c>
      <c r="M86" s="2"/>
      <c r="N86" s="22">
        <f t="shared" si="12"/>
        <v>0</v>
      </c>
      <c r="O86" s="11"/>
      <c r="P86" s="2">
        <v>599.29</v>
      </c>
      <c r="Q86" s="2"/>
      <c r="R86" s="22">
        <f t="shared" si="13"/>
        <v>2.4312136004577263E-4</v>
      </c>
      <c r="S86" s="2"/>
      <c r="T86" s="2"/>
      <c r="U86" s="2"/>
      <c r="V86" s="22">
        <f t="shared" si="14"/>
        <v>0</v>
      </c>
      <c r="W86" s="2"/>
      <c r="X86" s="2">
        <f t="shared" si="15"/>
        <v>599.29</v>
      </c>
      <c r="Y86" s="2"/>
      <c r="Z86" s="22">
        <f t="shared" si="16"/>
        <v>0</v>
      </c>
    </row>
    <row r="87" spans="1:26" s="24" customFormat="1" hidden="1" outlineLevel="1" x14ac:dyDescent="0.25">
      <c r="A87" s="51"/>
      <c r="B87" s="11" t="str">
        <f>CONCATENATE("          ", "5026", " - ", "PURCHASES @ COST-WRITING INSTR")</f>
        <v xml:space="preserve">          5026 - PURCHASES @ COST-WRITING INSTR</v>
      </c>
      <c r="C87" s="11"/>
      <c r="D87" s="2"/>
      <c r="E87" s="2"/>
      <c r="F87" s="22">
        <f t="shared" si="9"/>
        <v>0</v>
      </c>
      <c r="G87" s="2"/>
      <c r="H87" s="2"/>
      <c r="I87" s="2"/>
      <c r="J87" s="22">
        <f t="shared" si="10"/>
        <v>0</v>
      </c>
      <c r="K87" s="2"/>
      <c r="L87" s="2">
        <f t="shared" si="11"/>
        <v>0</v>
      </c>
      <c r="M87" s="2"/>
      <c r="N87" s="22">
        <f t="shared" si="12"/>
        <v>0</v>
      </c>
      <c r="O87" s="11"/>
      <c r="P87" s="2">
        <v>380.02</v>
      </c>
      <c r="Q87" s="2"/>
      <c r="R87" s="22">
        <f t="shared" si="13"/>
        <v>1.5416739682723644E-4</v>
      </c>
      <c r="S87" s="2"/>
      <c r="T87" s="2"/>
      <c r="U87" s="2"/>
      <c r="V87" s="22">
        <f t="shared" si="14"/>
        <v>0</v>
      </c>
      <c r="W87" s="2"/>
      <c r="X87" s="2">
        <f t="shared" si="15"/>
        <v>380.02</v>
      </c>
      <c r="Y87" s="2"/>
      <c r="Z87" s="22">
        <f t="shared" si="16"/>
        <v>0</v>
      </c>
    </row>
    <row r="88" spans="1:26" s="24" customFormat="1" hidden="1" outlineLevel="1" x14ac:dyDescent="0.25">
      <c r="A88" s="51"/>
      <c r="B88" s="11" t="str">
        <f>CONCATENATE("          ", "5027", " - ", "PURCHASES @ COST-SCHOOL SUPPLI")</f>
        <v xml:space="preserve">          5027 - PURCHASES @ COST-SCHOOL SUPPLI</v>
      </c>
      <c r="C88" s="11"/>
      <c r="D88" s="2"/>
      <c r="E88" s="2"/>
      <c r="F88" s="22">
        <f t="shared" si="9"/>
        <v>0</v>
      </c>
      <c r="G88" s="2"/>
      <c r="H88" s="2"/>
      <c r="I88" s="2"/>
      <c r="J88" s="22">
        <f t="shared" si="10"/>
        <v>0</v>
      </c>
      <c r="K88" s="2"/>
      <c r="L88" s="2">
        <f t="shared" si="11"/>
        <v>0</v>
      </c>
      <c r="M88" s="2"/>
      <c r="N88" s="22">
        <f t="shared" si="12"/>
        <v>0</v>
      </c>
      <c r="O88" s="11"/>
      <c r="P88" s="2">
        <v>19071.350000000002</v>
      </c>
      <c r="Q88" s="2"/>
      <c r="R88" s="22">
        <f t="shared" si="13"/>
        <v>7.7369095928664705E-3</v>
      </c>
      <c r="S88" s="2"/>
      <c r="T88" s="2"/>
      <c r="U88" s="2"/>
      <c r="V88" s="22">
        <f t="shared" si="14"/>
        <v>0</v>
      </c>
      <c r="W88" s="2"/>
      <c r="X88" s="2">
        <f t="shared" si="15"/>
        <v>19071.350000000002</v>
      </c>
      <c r="Y88" s="2"/>
      <c r="Z88" s="22">
        <f t="shared" si="16"/>
        <v>0</v>
      </c>
    </row>
    <row r="89" spans="1:26" s="24" customFormat="1" hidden="1" outlineLevel="1" x14ac:dyDescent="0.25">
      <c r="A89" s="51"/>
      <c r="B89" s="11" t="str">
        <f>CONCATENATE("          ", "5028", " - ", "PURCHASES @ COST-ART/TECH")</f>
        <v xml:space="preserve">          5028 - PURCHASES @ COST-ART/TECH</v>
      </c>
      <c r="C89" s="11"/>
      <c r="D89" s="2">
        <v>15.89</v>
      </c>
      <c r="E89" s="2"/>
      <c r="F89" s="22">
        <f t="shared" si="9"/>
        <v>1.431884213643252E-4</v>
      </c>
      <c r="G89" s="2"/>
      <c r="H89" s="2"/>
      <c r="I89" s="2"/>
      <c r="J89" s="22">
        <f t="shared" si="10"/>
        <v>0</v>
      </c>
      <c r="K89" s="2"/>
      <c r="L89" s="2">
        <f t="shared" si="11"/>
        <v>15.89</v>
      </c>
      <c r="M89" s="2"/>
      <c r="N89" s="22">
        <f t="shared" si="12"/>
        <v>0</v>
      </c>
      <c r="O89" s="11"/>
      <c r="P89" s="2">
        <v>41358.449999999997</v>
      </c>
      <c r="Q89" s="2"/>
      <c r="R89" s="22">
        <f t="shared" si="13"/>
        <v>1.677839211965006E-2</v>
      </c>
      <c r="S89" s="2"/>
      <c r="T89" s="2"/>
      <c r="U89" s="2"/>
      <c r="V89" s="22">
        <f t="shared" si="14"/>
        <v>0</v>
      </c>
      <c r="W89" s="2"/>
      <c r="X89" s="2">
        <f t="shared" si="15"/>
        <v>41358.449999999997</v>
      </c>
      <c r="Y89" s="2"/>
      <c r="Z89" s="22">
        <f t="shared" si="16"/>
        <v>0</v>
      </c>
    </row>
    <row r="90" spans="1:26" s="24" customFormat="1" hidden="1" outlineLevel="1" x14ac:dyDescent="0.25">
      <c r="A90" s="51"/>
      <c r="B90" s="11" t="str">
        <f>CONCATENATE("          ", "5031", " - ", "PURCHASES @ COST-FOOD")</f>
        <v xml:space="preserve">          5031 - PURCHASES @ COST-FOOD</v>
      </c>
      <c r="C90" s="11"/>
      <c r="D90" s="2"/>
      <c r="E90" s="2"/>
      <c r="F90" s="22">
        <f t="shared" si="9"/>
        <v>0</v>
      </c>
      <c r="G90" s="2"/>
      <c r="H90" s="2"/>
      <c r="I90" s="2"/>
      <c r="J90" s="22">
        <f t="shared" si="10"/>
        <v>0</v>
      </c>
      <c r="K90" s="2"/>
      <c r="L90" s="2">
        <f t="shared" si="11"/>
        <v>0</v>
      </c>
      <c r="M90" s="2"/>
      <c r="N90" s="22">
        <f t="shared" si="12"/>
        <v>0</v>
      </c>
      <c r="O90" s="11"/>
      <c r="P90" s="2">
        <v>8535.1</v>
      </c>
      <c r="Q90" s="2"/>
      <c r="R90" s="22">
        <f t="shared" si="13"/>
        <v>3.462539204936966E-3</v>
      </c>
      <c r="S90" s="2"/>
      <c r="T90" s="2"/>
      <c r="U90" s="2"/>
      <c r="V90" s="22">
        <f t="shared" si="14"/>
        <v>0</v>
      </c>
      <c r="W90" s="2"/>
      <c r="X90" s="2">
        <f t="shared" si="15"/>
        <v>8535.1</v>
      </c>
      <c r="Y90" s="2"/>
      <c r="Z90" s="22">
        <f t="shared" si="16"/>
        <v>0</v>
      </c>
    </row>
    <row r="91" spans="1:26" s="24" customFormat="1" hidden="1" outlineLevel="1" x14ac:dyDescent="0.25">
      <c r="A91" s="51"/>
      <c r="B91" s="11" t="str">
        <f>CONCATENATE("          ", "5040", " - ", "PURCHASES @ COST-LOGO CLOTHING")</f>
        <v xml:space="preserve">          5040 - PURCHASES @ COST-LOGO CLOTHING</v>
      </c>
      <c r="C91" s="11"/>
      <c r="D91" s="2">
        <v>55124.33</v>
      </c>
      <c r="E91" s="2"/>
      <c r="F91" s="22">
        <f t="shared" si="9"/>
        <v>0.49673793527162441</v>
      </c>
      <c r="G91" s="2"/>
      <c r="H91" s="2"/>
      <c r="I91" s="2"/>
      <c r="J91" s="22">
        <f t="shared" si="10"/>
        <v>0</v>
      </c>
      <c r="K91" s="2"/>
      <c r="L91" s="2">
        <f t="shared" si="11"/>
        <v>55124.33</v>
      </c>
      <c r="M91" s="2"/>
      <c r="N91" s="22">
        <f t="shared" si="12"/>
        <v>0</v>
      </c>
      <c r="O91" s="11"/>
      <c r="P91" s="2">
        <v>94295.28</v>
      </c>
      <c r="Q91" s="2"/>
      <c r="R91" s="22">
        <f t="shared" si="13"/>
        <v>3.8253928347706363E-2</v>
      </c>
      <c r="S91" s="2"/>
      <c r="T91" s="2"/>
      <c r="U91" s="2"/>
      <c r="V91" s="22">
        <f t="shared" si="14"/>
        <v>0</v>
      </c>
      <c r="W91" s="2"/>
      <c r="X91" s="2">
        <f t="shared" si="15"/>
        <v>94295.28</v>
      </c>
      <c r="Y91" s="2"/>
      <c r="Z91" s="22">
        <f t="shared" si="16"/>
        <v>0</v>
      </c>
    </row>
    <row r="92" spans="1:26" s="24" customFormat="1" hidden="1" outlineLevel="1" x14ac:dyDescent="0.25">
      <c r="A92" s="51"/>
      <c r="B92" s="11" t="str">
        <f>CONCATENATE("          ", "5041", " - ", "PURCHASES @ COST-LOGO GIFTS")</f>
        <v xml:space="preserve">          5041 - PURCHASES @ COST-LOGO GIFTS</v>
      </c>
      <c r="C92" s="11"/>
      <c r="D92" s="2">
        <v>9354.43</v>
      </c>
      <c r="E92" s="2"/>
      <c r="F92" s="22">
        <f t="shared" si="9"/>
        <v>8.4294906511207329E-2</v>
      </c>
      <c r="G92" s="2"/>
      <c r="H92" s="2"/>
      <c r="I92" s="2"/>
      <c r="J92" s="22">
        <f t="shared" si="10"/>
        <v>0</v>
      </c>
      <c r="K92" s="2"/>
      <c r="L92" s="2">
        <f t="shared" si="11"/>
        <v>9354.43</v>
      </c>
      <c r="M92" s="2"/>
      <c r="N92" s="22">
        <f t="shared" si="12"/>
        <v>0</v>
      </c>
      <c r="O92" s="11"/>
      <c r="P92" s="2">
        <v>26641.769999999997</v>
      </c>
      <c r="Q92" s="2"/>
      <c r="R92" s="22">
        <f t="shared" si="13"/>
        <v>1.0808095173332883E-2</v>
      </c>
      <c r="S92" s="2"/>
      <c r="T92" s="2"/>
      <c r="U92" s="2"/>
      <c r="V92" s="22">
        <f t="shared" si="14"/>
        <v>0</v>
      </c>
      <c r="W92" s="2"/>
      <c r="X92" s="2">
        <f t="shared" si="15"/>
        <v>26641.769999999997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"5042", " - ", "PURCHASES @ COST-EVERYDAY GIFT")</f>
        <v xml:space="preserve">          5042 - PURCHASES @ COST-EVERYDAY GIFT</v>
      </c>
      <c r="C93" s="11"/>
      <c r="D93" s="2"/>
      <c r="E93" s="2"/>
      <c r="F93" s="22">
        <f t="shared" si="9"/>
        <v>0</v>
      </c>
      <c r="G93" s="2"/>
      <c r="H93" s="2"/>
      <c r="I93" s="2"/>
      <c r="J93" s="22">
        <f t="shared" si="10"/>
        <v>0</v>
      </c>
      <c r="K93" s="2"/>
      <c r="L93" s="2">
        <f t="shared" si="11"/>
        <v>0</v>
      </c>
      <c r="M93" s="2"/>
      <c r="N93" s="22">
        <f t="shared" si="12"/>
        <v>0</v>
      </c>
      <c r="O93" s="11"/>
      <c r="P93" s="2">
        <v>10912.68</v>
      </c>
      <c r="Q93" s="2"/>
      <c r="R93" s="22">
        <f t="shared" si="13"/>
        <v>4.4270813852130058E-3</v>
      </c>
      <c r="S93" s="2"/>
      <c r="T93" s="2"/>
      <c r="U93" s="2"/>
      <c r="V93" s="22">
        <f t="shared" si="14"/>
        <v>0</v>
      </c>
      <c r="W93" s="2"/>
      <c r="X93" s="2">
        <f t="shared" si="15"/>
        <v>10912.68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"5043", " - ", "PURCHASES @ COST-CARDS")</f>
        <v xml:space="preserve">          5043 - PURCHASES @ COST-CARDS</v>
      </c>
      <c r="C94" s="11"/>
      <c r="D94" s="2">
        <v>38530.230000000003</v>
      </c>
      <c r="E94" s="2"/>
      <c r="F94" s="22">
        <f t="shared" si="9"/>
        <v>0.34720470789832369</v>
      </c>
      <c r="G94" s="2"/>
      <c r="H94" s="2"/>
      <c r="I94" s="2"/>
      <c r="J94" s="22">
        <f t="shared" si="10"/>
        <v>0</v>
      </c>
      <c r="K94" s="2"/>
      <c r="L94" s="2">
        <f t="shared" si="11"/>
        <v>38530.230000000003</v>
      </c>
      <c r="M94" s="2"/>
      <c r="N94" s="22">
        <f t="shared" si="12"/>
        <v>0</v>
      </c>
      <c r="O94" s="11"/>
      <c r="P94" s="2">
        <v>44173.23</v>
      </c>
      <c r="Q94" s="2"/>
      <c r="R94" s="22">
        <f t="shared" si="13"/>
        <v>1.7920298612048802E-2</v>
      </c>
      <c r="S94" s="2"/>
      <c r="T94" s="2"/>
      <c r="U94" s="2"/>
      <c r="V94" s="22">
        <f t="shared" si="14"/>
        <v>0</v>
      </c>
      <c r="W94" s="2"/>
      <c r="X94" s="2">
        <f t="shared" si="15"/>
        <v>44173.23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"5044", " - ", "PURCHASES @ COST-ACCESSORIES")</f>
        <v xml:space="preserve">          5044 - PURCHASES @ COST-ACCESSORIES</v>
      </c>
      <c r="C95" s="11"/>
      <c r="D95" s="2">
        <v>282.33</v>
      </c>
      <c r="E95" s="2"/>
      <c r="F95" s="22">
        <f t="shared" si="9"/>
        <v>2.5441401512768993E-3</v>
      </c>
      <c r="G95" s="2"/>
      <c r="H95" s="2"/>
      <c r="I95" s="2"/>
      <c r="J95" s="22">
        <f t="shared" si="10"/>
        <v>0</v>
      </c>
      <c r="K95" s="2"/>
      <c r="L95" s="2">
        <f t="shared" si="11"/>
        <v>282.33</v>
      </c>
      <c r="M95" s="2"/>
      <c r="N95" s="22">
        <f t="shared" si="12"/>
        <v>0</v>
      </c>
      <c r="O95" s="11"/>
      <c r="P95" s="2">
        <v>282.33</v>
      </c>
      <c r="Q95" s="2"/>
      <c r="R95" s="22">
        <f t="shared" si="13"/>
        <v>1.1453629058005805E-4</v>
      </c>
      <c r="S95" s="2"/>
      <c r="T95" s="2"/>
      <c r="U95" s="2"/>
      <c r="V95" s="22">
        <f t="shared" si="14"/>
        <v>0</v>
      </c>
      <c r="W95" s="2"/>
      <c r="X95" s="2">
        <f t="shared" si="15"/>
        <v>282.33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"5045", " - ", "PURCHASES @ COST-SPECIAL ORDER")</f>
        <v xml:space="preserve">          5045 - PURCHASES @ COST-SPECIAL ORDER</v>
      </c>
      <c r="C96" s="11"/>
      <c r="D96" s="2">
        <v>5678</v>
      </c>
      <c r="E96" s="2"/>
      <c r="F96" s="22">
        <f t="shared" si="9"/>
        <v>5.1165755601424695E-2</v>
      </c>
      <c r="G96" s="2"/>
      <c r="H96" s="2"/>
      <c r="I96" s="2"/>
      <c r="J96" s="22">
        <f t="shared" si="10"/>
        <v>0</v>
      </c>
      <c r="K96" s="2"/>
      <c r="L96" s="2">
        <f t="shared" si="11"/>
        <v>5678</v>
      </c>
      <c r="M96" s="2"/>
      <c r="N96" s="22">
        <f t="shared" si="12"/>
        <v>0</v>
      </c>
      <c r="O96" s="11"/>
      <c r="P96" s="2">
        <v>76932.51999999999</v>
      </c>
      <c r="Q96" s="2"/>
      <c r="R96" s="22">
        <f t="shared" si="13"/>
        <v>3.1210163517076211E-2</v>
      </c>
      <c r="S96" s="2"/>
      <c r="T96" s="2"/>
      <c r="U96" s="2"/>
      <c r="V96" s="22">
        <f t="shared" si="14"/>
        <v>0</v>
      </c>
      <c r="W96" s="2"/>
      <c r="X96" s="2">
        <f t="shared" si="15"/>
        <v>76932.51999999999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"5200", " - ", "PURCHASES OFFSET")</f>
        <v xml:space="preserve">          5200 - PURCHASES OFFSET</v>
      </c>
      <c r="C97" s="11"/>
      <c r="D97" s="2">
        <v>196761.90999999997</v>
      </c>
      <c r="E97" s="2"/>
      <c r="F97" s="22">
        <f t="shared" si="9"/>
        <v>1.7730665372894541</v>
      </c>
      <c r="G97" s="2"/>
      <c r="H97" s="2"/>
      <c r="I97" s="2"/>
      <c r="J97" s="22">
        <f t="shared" si="10"/>
        <v>0</v>
      </c>
      <c r="K97" s="2"/>
      <c r="L97" s="2">
        <f t="shared" si="11"/>
        <v>196761.90999999997</v>
      </c>
      <c r="M97" s="2"/>
      <c r="N97" s="22">
        <f t="shared" si="12"/>
        <v>0</v>
      </c>
      <c r="O97" s="11"/>
      <c r="P97" s="2">
        <v>-1572395.28</v>
      </c>
      <c r="Q97" s="2"/>
      <c r="R97" s="22">
        <f t="shared" si="13"/>
        <v>-0.63789297168842052</v>
      </c>
      <c r="S97" s="2"/>
      <c r="T97" s="2"/>
      <c r="U97" s="2"/>
      <c r="V97" s="22">
        <f t="shared" si="14"/>
        <v>0</v>
      </c>
      <c r="W97" s="2"/>
      <c r="X97" s="2">
        <f t="shared" si="15"/>
        <v>-1572395.28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"5300", " - ", "COG$ OFFSET")</f>
        <v xml:space="preserve">          5300 - COG$ OFFSET</v>
      </c>
      <c r="C98" s="11"/>
      <c r="D98" s="2">
        <v>60951.000000000007</v>
      </c>
      <c r="E98" s="2"/>
      <c r="F98" s="22">
        <f t="shared" si="9"/>
        <v>0.54924339021881596</v>
      </c>
      <c r="G98" s="2"/>
      <c r="H98" s="2"/>
      <c r="I98" s="2"/>
      <c r="J98" s="22">
        <f t="shared" si="10"/>
        <v>0</v>
      </c>
      <c r="K98" s="2"/>
      <c r="L98" s="2">
        <f t="shared" si="11"/>
        <v>60951.000000000007</v>
      </c>
      <c r="M98" s="2"/>
      <c r="N98" s="22">
        <f t="shared" si="12"/>
        <v>0</v>
      </c>
      <c r="O98" s="11"/>
      <c r="P98" s="2">
        <v>1256640</v>
      </c>
      <c r="Q98" s="2"/>
      <c r="R98" s="22">
        <f t="shared" si="13"/>
        <v>0.50979663583226775</v>
      </c>
      <c r="S98" s="2"/>
      <c r="T98" s="2"/>
      <c r="U98" s="2"/>
      <c r="V98" s="22">
        <f t="shared" si="14"/>
        <v>0</v>
      </c>
      <c r="W98" s="2"/>
      <c r="X98" s="2">
        <f t="shared" si="15"/>
        <v>1256640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"5501", " - ", "FREIGHT-IN-NEW TEXT")</f>
        <v xml:space="preserve">          5501 - FREIGHT-IN-NEW TEXT</v>
      </c>
      <c r="C99" s="11"/>
      <c r="D99" s="2">
        <v>990.19</v>
      </c>
      <c r="E99" s="2"/>
      <c r="F99" s="22">
        <f t="shared" si="9"/>
        <v>8.9228283795305952E-3</v>
      </c>
      <c r="G99" s="2"/>
      <c r="H99" s="2"/>
      <c r="I99" s="2"/>
      <c r="J99" s="22">
        <f t="shared" si="10"/>
        <v>0</v>
      </c>
      <c r="K99" s="2"/>
      <c r="L99" s="2">
        <f t="shared" si="11"/>
        <v>990.19</v>
      </c>
      <c r="M99" s="2"/>
      <c r="N99" s="22">
        <f t="shared" si="12"/>
        <v>0</v>
      </c>
      <c r="O99" s="11"/>
      <c r="P99" s="2">
        <v>35048.81</v>
      </c>
      <c r="Q99" s="2"/>
      <c r="R99" s="22">
        <f t="shared" si="13"/>
        <v>1.4218682699837936E-2</v>
      </c>
      <c r="S99" s="2"/>
      <c r="T99" s="2"/>
      <c r="U99" s="2"/>
      <c r="V99" s="22">
        <f t="shared" si="14"/>
        <v>0</v>
      </c>
      <c r="W99" s="2"/>
      <c r="X99" s="2">
        <f t="shared" si="15"/>
        <v>35048.81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"5502", " - ", "FREIGHT-IN-USED TEXT")</f>
        <v xml:space="preserve">          5502 - FREIGHT-IN-USED TEXT</v>
      </c>
      <c r="C100" s="11"/>
      <c r="D100" s="2">
        <v>388.37</v>
      </c>
      <c r="E100" s="2"/>
      <c r="F100" s="22">
        <f t="shared" si="9"/>
        <v>3.499690824749086E-3</v>
      </c>
      <c r="G100" s="2"/>
      <c r="H100" s="2"/>
      <c r="I100" s="2"/>
      <c r="J100" s="22">
        <f t="shared" si="10"/>
        <v>0</v>
      </c>
      <c r="K100" s="2"/>
      <c r="L100" s="2">
        <f t="shared" si="11"/>
        <v>388.37</v>
      </c>
      <c r="M100" s="2"/>
      <c r="N100" s="22">
        <f t="shared" si="12"/>
        <v>0</v>
      </c>
      <c r="O100" s="11"/>
      <c r="P100" s="2">
        <v>11133.09</v>
      </c>
      <c r="Q100" s="2"/>
      <c r="R100" s="22">
        <f t="shared" si="13"/>
        <v>4.5164978262810847E-3</v>
      </c>
      <c r="S100" s="2"/>
      <c r="T100" s="2"/>
      <c r="U100" s="2"/>
      <c r="V100" s="22">
        <f t="shared" si="14"/>
        <v>0</v>
      </c>
      <c r="W100" s="2"/>
      <c r="X100" s="2">
        <f t="shared" si="15"/>
        <v>11133.09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"5504", " - ", "FREIGHT-IN-DIGITAL TEXT")</f>
        <v xml:space="preserve">          5504 - FREIGHT-IN-DIGITAL TEXT</v>
      </c>
      <c r="C101" s="11"/>
      <c r="D101" s="2"/>
      <c r="E101" s="2"/>
      <c r="F101" s="22">
        <f t="shared" si="9"/>
        <v>0</v>
      </c>
      <c r="G101" s="2"/>
      <c r="H101" s="2"/>
      <c r="I101" s="2"/>
      <c r="J101" s="22">
        <f t="shared" si="10"/>
        <v>0</v>
      </c>
      <c r="K101" s="2"/>
      <c r="L101" s="2">
        <f t="shared" si="11"/>
        <v>0</v>
      </c>
      <c r="M101" s="2"/>
      <c r="N101" s="22">
        <f t="shared" si="12"/>
        <v>0</v>
      </c>
      <c r="O101" s="11"/>
      <c r="P101" s="2">
        <v>21.98</v>
      </c>
      <c r="Q101" s="2"/>
      <c r="R101" s="22">
        <f t="shared" si="13"/>
        <v>8.9168974850340958E-6</v>
      </c>
      <c r="S101" s="2"/>
      <c r="T101" s="2"/>
      <c r="U101" s="2"/>
      <c r="V101" s="22">
        <f t="shared" si="14"/>
        <v>0</v>
      </c>
      <c r="W101" s="2"/>
      <c r="X101" s="2">
        <f t="shared" si="15"/>
        <v>21.98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"5513", " - ", "FREIGHT-IN-TRADE BOOKS")</f>
        <v xml:space="preserve">          5513 - FREIGHT-IN-TRADE BOOKS</v>
      </c>
      <c r="C102" s="11"/>
      <c r="D102" s="2">
        <v>26.46</v>
      </c>
      <c r="E102" s="2"/>
      <c r="F102" s="22">
        <f t="shared" si="9"/>
        <v>2.3843710694147543E-4</v>
      </c>
      <c r="G102" s="2"/>
      <c r="H102" s="2"/>
      <c r="I102" s="2"/>
      <c r="J102" s="22">
        <f t="shared" si="10"/>
        <v>0</v>
      </c>
      <c r="K102" s="2"/>
      <c r="L102" s="2">
        <f t="shared" si="11"/>
        <v>26.46</v>
      </c>
      <c r="M102" s="2"/>
      <c r="N102" s="22">
        <f t="shared" si="12"/>
        <v>0</v>
      </c>
      <c r="O102" s="11"/>
      <c r="P102" s="2">
        <v>26.46</v>
      </c>
      <c r="Q102" s="2"/>
      <c r="R102" s="22">
        <f t="shared" si="13"/>
        <v>1.0734354297270344E-5</v>
      </c>
      <c r="S102" s="2"/>
      <c r="T102" s="2"/>
      <c r="U102" s="2"/>
      <c r="V102" s="22">
        <f t="shared" si="14"/>
        <v>0</v>
      </c>
      <c r="W102" s="2"/>
      <c r="X102" s="2">
        <f t="shared" si="15"/>
        <v>26.46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"5525", " - ", "FREIGHT-IN-TEST FORMS")</f>
        <v xml:space="preserve">          5525 - FREIGHT-IN-TEST FORMS</v>
      </c>
      <c r="C103" s="11"/>
      <c r="D103" s="2"/>
      <c r="E103" s="2"/>
      <c r="F103" s="22">
        <f t="shared" si="9"/>
        <v>0</v>
      </c>
      <c r="G103" s="2"/>
      <c r="H103" s="2"/>
      <c r="I103" s="2"/>
      <c r="J103" s="22">
        <f t="shared" si="10"/>
        <v>0</v>
      </c>
      <c r="K103" s="2"/>
      <c r="L103" s="2">
        <f t="shared" si="11"/>
        <v>0</v>
      </c>
      <c r="M103" s="2"/>
      <c r="N103" s="22">
        <f t="shared" si="12"/>
        <v>0</v>
      </c>
      <c r="O103" s="11"/>
      <c r="P103" s="2">
        <v>48.14</v>
      </c>
      <c r="Q103" s="2"/>
      <c r="R103" s="22">
        <f t="shared" si="13"/>
        <v>1.9529547085056475E-5</v>
      </c>
      <c r="S103" s="2"/>
      <c r="T103" s="2"/>
      <c r="U103" s="2"/>
      <c r="V103" s="22">
        <f t="shared" si="14"/>
        <v>0</v>
      </c>
      <c r="W103" s="2"/>
      <c r="X103" s="2">
        <f t="shared" si="15"/>
        <v>48.14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"5527", " - ", "FREIGHT-IN-SCHOOL SUPPLIES")</f>
        <v xml:space="preserve">          5527 - FREIGHT-IN-SCHOOL SUPPLIES</v>
      </c>
      <c r="C104" s="11"/>
      <c r="D104" s="2"/>
      <c r="E104" s="2"/>
      <c r="F104" s="22">
        <f t="shared" si="9"/>
        <v>0</v>
      </c>
      <c r="G104" s="2"/>
      <c r="H104" s="2"/>
      <c r="I104" s="2"/>
      <c r="J104" s="22">
        <f t="shared" si="10"/>
        <v>0</v>
      </c>
      <c r="K104" s="2"/>
      <c r="L104" s="2">
        <f t="shared" si="11"/>
        <v>0</v>
      </c>
      <c r="M104" s="2"/>
      <c r="N104" s="22">
        <f t="shared" si="12"/>
        <v>0</v>
      </c>
      <c r="O104" s="11"/>
      <c r="P104" s="2">
        <v>56</v>
      </c>
      <c r="Q104" s="2"/>
      <c r="R104" s="22">
        <f t="shared" si="13"/>
        <v>2.2718210152953109E-5</v>
      </c>
      <c r="S104" s="2"/>
      <c r="T104" s="2"/>
      <c r="U104" s="2"/>
      <c r="V104" s="22">
        <f t="shared" si="14"/>
        <v>0</v>
      </c>
      <c r="W104" s="2"/>
      <c r="X104" s="2">
        <f t="shared" si="15"/>
        <v>56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"5528", " - ", "FREIGHT-IN-ART/TECH")</f>
        <v xml:space="preserve">          5528 - FREIGHT-IN-ART/TECH</v>
      </c>
      <c r="C105" s="11"/>
      <c r="D105" s="2">
        <v>1.72</v>
      </c>
      <c r="E105" s="2"/>
      <c r="F105" s="22">
        <f t="shared" si="9"/>
        <v>1.5499313074049045E-5</v>
      </c>
      <c r="G105" s="2"/>
      <c r="H105" s="2"/>
      <c r="I105" s="2"/>
      <c r="J105" s="22">
        <f t="shared" si="10"/>
        <v>0</v>
      </c>
      <c r="K105" s="2"/>
      <c r="L105" s="2">
        <f t="shared" si="11"/>
        <v>1.72</v>
      </c>
      <c r="M105" s="2"/>
      <c r="N105" s="22">
        <f t="shared" si="12"/>
        <v>0</v>
      </c>
      <c r="O105" s="11"/>
      <c r="P105" s="2">
        <v>285.92</v>
      </c>
      <c r="Q105" s="2"/>
      <c r="R105" s="22">
        <f t="shared" si="13"/>
        <v>1.1599269012379203E-4</v>
      </c>
      <c r="S105" s="2"/>
      <c r="T105" s="2"/>
      <c r="U105" s="2"/>
      <c r="V105" s="22">
        <f t="shared" si="14"/>
        <v>0</v>
      </c>
      <c r="W105" s="2"/>
      <c r="X105" s="2">
        <f t="shared" si="15"/>
        <v>285.92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"5540", " - ", "FREIGHT-IN-LOGO CLOTHING")</f>
        <v xml:space="preserve">          5540 - FREIGHT-IN-LOGO CLOTHING</v>
      </c>
      <c r="C106" s="11"/>
      <c r="D106" s="2">
        <v>1333.15</v>
      </c>
      <c r="E106" s="2"/>
      <c r="F106" s="22">
        <f t="shared" si="9"/>
        <v>1.2013319316667725E-2</v>
      </c>
      <c r="G106" s="2"/>
      <c r="H106" s="2"/>
      <c r="I106" s="2"/>
      <c r="J106" s="22">
        <f t="shared" si="10"/>
        <v>0</v>
      </c>
      <c r="K106" s="2"/>
      <c r="L106" s="2">
        <f t="shared" si="11"/>
        <v>1333.15</v>
      </c>
      <c r="M106" s="2"/>
      <c r="N106" s="22">
        <f t="shared" si="12"/>
        <v>0</v>
      </c>
      <c r="O106" s="11"/>
      <c r="P106" s="2">
        <v>4535.4799999999996</v>
      </c>
      <c r="Q106" s="2"/>
      <c r="R106" s="22">
        <f t="shared" si="13"/>
        <v>1.8399640675806385E-3</v>
      </c>
      <c r="S106" s="2"/>
      <c r="T106" s="2"/>
      <c r="U106" s="2"/>
      <c r="V106" s="22">
        <f t="shared" si="14"/>
        <v>0</v>
      </c>
      <c r="W106" s="2"/>
      <c r="X106" s="2">
        <f t="shared" si="15"/>
        <v>4535.4799999999996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"5541", " - ", "FREIGHT-IN-LOGO GIFTS")</f>
        <v xml:space="preserve">          5541 - FREIGHT-IN-LOGO GIFTS</v>
      </c>
      <c r="C107" s="11"/>
      <c r="D107" s="2">
        <v>301.06</v>
      </c>
      <c r="E107" s="2"/>
      <c r="F107" s="22">
        <f t="shared" si="9"/>
        <v>2.7129204616704685E-3</v>
      </c>
      <c r="G107" s="2"/>
      <c r="H107" s="2"/>
      <c r="I107" s="2"/>
      <c r="J107" s="22">
        <f t="shared" si="10"/>
        <v>0</v>
      </c>
      <c r="K107" s="2"/>
      <c r="L107" s="2">
        <f t="shared" si="11"/>
        <v>301.06</v>
      </c>
      <c r="M107" s="2"/>
      <c r="N107" s="22">
        <f t="shared" si="12"/>
        <v>0</v>
      </c>
      <c r="O107" s="11"/>
      <c r="P107" s="2">
        <v>1435.87</v>
      </c>
      <c r="Q107" s="2"/>
      <c r="R107" s="22">
        <f t="shared" si="13"/>
        <v>5.8250707879144246E-4</v>
      </c>
      <c r="S107" s="2"/>
      <c r="T107" s="2"/>
      <c r="U107" s="2"/>
      <c r="V107" s="22">
        <f t="shared" si="14"/>
        <v>0</v>
      </c>
      <c r="W107" s="2"/>
      <c r="X107" s="2">
        <f t="shared" si="15"/>
        <v>1435.87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"5542", " - ", "FREIGHT-IN-EVERYDAY GIFTS")</f>
        <v xml:space="preserve">          5542 - FREIGHT-IN-EVERYDAY GIFTS</v>
      </c>
      <c r="C108" s="11"/>
      <c r="D108" s="2">
        <v>21</v>
      </c>
      <c r="E108" s="2"/>
      <c r="F108" s="22">
        <f t="shared" si="9"/>
        <v>1.8923579915990112E-4</v>
      </c>
      <c r="G108" s="2"/>
      <c r="H108" s="2"/>
      <c r="I108" s="2"/>
      <c r="J108" s="22">
        <f t="shared" si="10"/>
        <v>0</v>
      </c>
      <c r="K108" s="2"/>
      <c r="L108" s="2">
        <f t="shared" si="11"/>
        <v>21</v>
      </c>
      <c r="M108" s="2"/>
      <c r="N108" s="22">
        <f t="shared" si="12"/>
        <v>0</v>
      </c>
      <c r="O108" s="11"/>
      <c r="P108" s="2">
        <v>196.55</v>
      </c>
      <c r="Q108" s="2"/>
      <c r="R108" s="22">
        <f t="shared" si="13"/>
        <v>7.9736860813623816E-5</v>
      </c>
      <c r="S108" s="2"/>
      <c r="T108" s="2"/>
      <c r="U108" s="2"/>
      <c r="V108" s="22">
        <f t="shared" si="14"/>
        <v>0</v>
      </c>
      <c r="W108" s="2"/>
      <c r="X108" s="2">
        <f t="shared" si="15"/>
        <v>196.55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"5543", " - ", "FREIGHT-IN-CARDS")</f>
        <v xml:space="preserve">          5543 - FREIGHT-IN-CARDS</v>
      </c>
      <c r="C109" s="11"/>
      <c r="D109" s="2">
        <v>6323.12</v>
      </c>
      <c r="E109" s="2"/>
      <c r="F109" s="22">
        <f t="shared" si="9"/>
        <v>5.6979079351616856E-2</v>
      </c>
      <c r="G109" s="2"/>
      <c r="H109" s="2"/>
      <c r="I109" s="2"/>
      <c r="J109" s="22">
        <f t="shared" si="10"/>
        <v>0</v>
      </c>
      <c r="K109" s="2"/>
      <c r="L109" s="2">
        <f t="shared" si="11"/>
        <v>6323.12</v>
      </c>
      <c r="M109" s="2"/>
      <c r="N109" s="22">
        <f t="shared" si="12"/>
        <v>0</v>
      </c>
      <c r="O109" s="11"/>
      <c r="P109" s="2">
        <v>6512.31</v>
      </c>
      <c r="Q109" s="2"/>
      <c r="R109" s="22">
        <f t="shared" si="13"/>
        <v>2.6419290564496083E-3</v>
      </c>
      <c r="S109" s="2"/>
      <c r="T109" s="2"/>
      <c r="U109" s="2"/>
      <c r="V109" s="22">
        <f t="shared" si="14"/>
        <v>0</v>
      </c>
      <c r="W109" s="2"/>
      <c r="X109" s="2">
        <f t="shared" si="15"/>
        <v>6512.31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"5545", " - ", "FREIGHT-IN-SPECIAL ORDERS")</f>
        <v xml:space="preserve">          5545 - FREIGHT-IN-SPECIAL ORDERS</v>
      </c>
      <c r="C110" s="11"/>
      <c r="D110" s="2">
        <v>37.590000000000003</v>
      </c>
      <c r="E110" s="2"/>
      <c r="F110" s="22">
        <f t="shared" si="9"/>
        <v>3.3873208049622303E-4</v>
      </c>
      <c r="G110" s="2"/>
      <c r="H110" s="2"/>
      <c r="I110" s="2"/>
      <c r="J110" s="22">
        <f t="shared" si="10"/>
        <v>0</v>
      </c>
      <c r="K110" s="2"/>
      <c r="L110" s="2">
        <f t="shared" si="11"/>
        <v>37.590000000000003</v>
      </c>
      <c r="M110" s="2"/>
      <c r="N110" s="22">
        <f t="shared" si="12"/>
        <v>0</v>
      </c>
      <c r="O110" s="11"/>
      <c r="P110" s="2">
        <v>887.86</v>
      </c>
      <c r="Q110" s="2"/>
      <c r="R110" s="22">
        <f t="shared" si="13"/>
        <v>3.6018910832858836E-4</v>
      </c>
      <c r="S110" s="2"/>
      <c r="T110" s="2"/>
      <c r="U110" s="2"/>
      <c r="V110" s="22">
        <f t="shared" si="14"/>
        <v>0</v>
      </c>
      <c r="W110" s="2"/>
      <c r="X110" s="2">
        <f t="shared" si="15"/>
        <v>887.86</v>
      </c>
      <c r="Y110" s="2"/>
      <c r="Z110" s="22">
        <f t="shared" si="16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6</v>
      </c>
      <c r="C112" s="25"/>
      <c r="D112" s="21">
        <f>D12-D76</f>
        <v>49628.560000000019</v>
      </c>
      <c r="E112" s="13"/>
      <c r="F112" s="20">
        <f>IF(D$12=0,0,D112/D$12)</f>
        <v>0.44721429584548128</v>
      </c>
      <c r="G112" s="13"/>
      <c r="H112" s="21">
        <f>H12-H76</f>
        <v>192687</v>
      </c>
      <c r="I112" s="13"/>
      <c r="J112" s="20">
        <f>IF(H$12=0,0,H112/H$12)</f>
        <v>0.54398624556410968</v>
      </c>
      <c r="K112" s="16"/>
      <c r="L112" s="21">
        <f>+D112-H112</f>
        <v>-143058.43999999997</v>
      </c>
      <c r="M112" s="16"/>
      <c r="N112" s="20">
        <f>IF(H112=0,0,L112/H112)</f>
        <v>-0.74243950032954986</v>
      </c>
      <c r="O112" s="26"/>
      <c r="P112" s="21">
        <f>P12-P76</f>
        <v>863208.88999999943</v>
      </c>
      <c r="Q112" s="13"/>
      <c r="R112" s="20">
        <f>IF(P$12=0,0,P112/P$12)</f>
        <v>0.35018858873066733</v>
      </c>
      <c r="S112" s="13"/>
      <c r="T112" s="21">
        <f>T12-T76</f>
        <v>1706182</v>
      </c>
      <c r="U112" s="13"/>
      <c r="V112" s="20">
        <f>IF(T$12=0,0,T112/T$12)</f>
        <v>0.39307496978529705</v>
      </c>
      <c r="W112" s="16"/>
      <c r="X112" s="21">
        <f>+P112-T112</f>
        <v>-842973.11000000057</v>
      </c>
      <c r="Y112" s="16"/>
      <c r="Z112" s="20">
        <f>IF(T112=0,0,X112/T112)</f>
        <v>-0.49406986476237619</v>
      </c>
    </row>
    <row r="113" spans="1:26" x14ac:dyDescent="0.25">
      <c r="A113" s="9"/>
      <c r="B113" s="10"/>
      <c r="C113" s="9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6" t="s">
        <v>9</v>
      </c>
      <c r="C114" s="10"/>
      <c r="D114" s="19">
        <f>SUM(OSRRefD22x_0)</f>
        <v>235558.71999999994</v>
      </c>
      <c r="E114" s="19"/>
      <c r="F114" s="35">
        <f t="shared" ref="F114:F125" si="17">IF(D$12=0,0,D114/D$12)</f>
        <v>2.1226734584896847</v>
      </c>
      <c r="G114" s="19"/>
      <c r="H114" s="19">
        <f>SUM(OSRRefH22x_0)</f>
        <v>304267.73197411542</v>
      </c>
      <c r="I114" s="19"/>
      <c r="J114" s="35">
        <f t="shared" ref="J114:J125" si="18">IF(H$12=0,0,H114/H$12)</f>
        <v>0.85899651332422988</v>
      </c>
      <c r="K114" s="4"/>
      <c r="L114" s="19">
        <f t="shared" ref="L114:L125" si="19">+D114-H114</f>
        <v>-68709.011974115478</v>
      </c>
      <c r="M114" s="4"/>
      <c r="N114" s="35">
        <f t="shared" ref="N114:N125" si="20">IF(H114=0,0,L114/H114)</f>
        <v>-0.22581760980149113</v>
      </c>
      <c r="O114" s="10"/>
      <c r="P114" s="19">
        <f>SUM(OSRRefP22x_0)</f>
        <v>1358799.85</v>
      </c>
      <c r="Q114" s="19"/>
      <c r="R114" s="35">
        <f t="shared" ref="R114:R125" si="21">IF(P$12=0,0,P114/P$12)</f>
        <v>0.55124108121609217</v>
      </c>
      <c r="S114" s="19"/>
      <c r="T114" s="19">
        <f>SUM(OSRRefT22x_0)</f>
        <v>1882883.0376016349</v>
      </c>
      <c r="U114" s="19"/>
      <c r="V114" s="35">
        <f t="shared" ref="V114:V125" si="22">IF(T$12=0,0,T114/T$12)</f>
        <v>0.43378384786295421</v>
      </c>
      <c r="W114" s="4"/>
      <c r="X114" s="19">
        <f t="shared" ref="X114:X125" si="23">+P114-T114</f>
        <v>-524083.18760163477</v>
      </c>
      <c r="Y114" s="4"/>
      <c r="Z114" s="35">
        <f t="shared" ref="Z114:Z125" si="24">IF(T114=0,0,X114/T114)</f>
        <v>-0.2783408088211351</v>
      </c>
    </row>
    <row r="115" spans="1:26" s="29" customFormat="1" outlineLevel="1" collapsed="1" x14ac:dyDescent="0.25">
      <c r="A115" s="27"/>
      <c r="B115" s="14" t="str">
        <f>CONCATENATE("     ","*Benefits                                         ")</f>
        <v xml:space="preserve">     *Benefits                                         </v>
      </c>
      <c r="C115" s="14"/>
      <c r="D115" s="1">
        <f>SUM(OSRRefD22_0x_0)</f>
        <v>43633.14</v>
      </c>
      <c r="E115" s="1"/>
      <c r="F115" s="5">
        <f t="shared" si="17"/>
        <v>0.39318819608361183</v>
      </c>
      <c r="G115" s="1"/>
      <c r="H115" s="1">
        <f>SUM(OSRRefH22_0x_0)</f>
        <v>40625.314191961537</v>
      </c>
      <c r="I115" s="1"/>
      <c r="J115" s="5">
        <f t="shared" si="18"/>
        <v>0.11469176510168046</v>
      </c>
      <c r="K115" s="1"/>
      <c r="L115" s="1">
        <f t="shared" si="19"/>
        <v>3007.8258080384621</v>
      </c>
      <c r="M115" s="1"/>
      <c r="N115" s="5">
        <f t="shared" si="20"/>
        <v>7.4038216512639685E-2</v>
      </c>
      <c r="O115" s="14"/>
      <c r="P115" s="1">
        <f>SUM(OSRRefP22_0x_0)</f>
        <v>224541.77</v>
      </c>
      <c r="Q115" s="1"/>
      <c r="R115" s="5">
        <f t="shared" si="21"/>
        <v>9.1092627124572528E-2</v>
      </c>
      <c r="S115" s="1"/>
      <c r="T115" s="1">
        <f>SUM(OSRRefT22_0x_0)</f>
        <v>229825.53979978838</v>
      </c>
      <c r="U115" s="1"/>
      <c r="V115" s="5">
        <f t="shared" si="22"/>
        <v>5.2947849123183462E-2</v>
      </c>
      <c r="W115" s="1"/>
      <c r="X115" s="1">
        <f t="shared" si="23"/>
        <v>-5283.7697997883952</v>
      </c>
      <c r="Y115" s="1"/>
      <c r="Z115" s="5">
        <f t="shared" si="24"/>
        <v>-2.2990350873933901E-2</v>
      </c>
    </row>
    <row r="116" spans="1:26" s="24" customFormat="1" hidden="1" outlineLevel="2" x14ac:dyDescent="0.25">
      <c r="A116" s="28"/>
      <c r="B116" s="11" t="str">
        <f>CONCATENATE("          ", "6111", " - ", "F.I.C.A.")</f>
        <v xml:space="preserve">          6111 - F.I.C.A.</v>
      </c>
      <c r="C116" s="11"/>
      <c r="D116" s="6">
        <v>6492.33</v>
      </c>
      <c r="E116" s="2"/>
      <c r="F116" s="7">
        <f t="shared" si="17"/>
        <v>5.8503869331419094E-2</v>
      </c>
      <c r="G116" s="2"/>
      <c r="H116" s="6">
        <v>6329.9896854230774</v>
      </c>
      <c r="I116" s="2"/>
      <c r="J116" s="7">
        <f t="shared" si="18"/>
        <v>1.7870574161374872E-2</v>
      </c>
      <c r="K116" s="2"/>
      <c r="L116" s="6">
        <f t="shared" si="19"/>
        <v>162.34031457692254</v>
      </c>
      <c r="M116" s="2"/>
      <c r="N116" s="7">
        <f t="shared" si="20"/>
        <v>2.5646221027937142E-2</v>
      </c>
      <c r="O116" s="11"/>
      <c r="P116" s="6">
        <v>48200.2</v>
      </c>
      <c r="Q116" s="2"/>
      <c r="R116" s="7">
        <f t="shared" si="21"/>
        <v>1.9553969160970901E-2</v>
      </c>
      <c r="S116" s="2"/>
      <c r="T116" s="6">
        <v>45235.329293826922</v>
      </c>
      <c r="U116" s="2"/>
      <c r="V116" s="7">
        <f t="shared" si="22"/>
        <v>1.0421441379289537E-2</v>
      </c>
      <c r="W116" s="2"/>
      <c r="X116" s="6">
        <f t="shared" si="23"/>
        <v>2964.8707061730747</v>
      </c>
      <c r="Y116" s="2"/>
      <c r="Z116" s="7">
        <f t="shared" si="24"/>
        <v>6.5543254629908898E-2</v>
      </c>
    </row>
    <row r="117" spans="1:26" s="24" customFormat="1" hidden="1" outlineLevel="2" x14ac:dyDescent="0.25">
      <c r="A117" s="28"/>
      <c r="B117" s="11" t="str">
        <f>CONCATENATE("          ", "6112", " - ", "COMPENSATION INSURANCE")</f>
        <v xml:space="preserve">          6112 - COMPENSATION INSURANCE</v>
      </c>
      <c r="C117" s="11"/>
      <c r="D117" s="6">
        <v>2778.24</v>
      </c>
      <c r="E117" s="2"/>
      <c r="F117" s="7">
        <f t="shared" si="17"/>
        <v>2.5035355555143031E-2</v>
      </c>
      <c r="G117" s="2"/>
      <c r="H117" s="6">
        <v>2537.552998076922</v>
      </c>
      <c r="I117" s="2"/>
      <c r="J117" s="7">
        <f t="shared" si="18"/>
        <v>7.1639183149035243E-3</v>
      </c>
      <c r="K117" s="2"/>
      <c r="L117" s="6">
        <f t="shared" si="19"/>
        <v>240.68700192307779</v>
      </c>
      <c r="M117" s="2"/>
      <c r="N117" s="7">
        <f t="shared" si="20"/>
        <v>9.4850039429908189E-2</v>
      </c>
      <c r="O117" s="11"/>
      <c r="P117" s="6">
        <v>12736.66</v>
      </c>
      <c r="Q117" s="2"/>
      <c r="R117" s="7">
        <f t="shared" si="21"/>
        <v>5.1670378308341387E-3</v>
      </c>
      <c r="S117" s="2"/>
      <c r="T117" s="6">
        <v>15827.524189423071</v>
      </c>
      <c r="U117" s="2"/>
      <c r="V117" s="7">
        <f t="shared" si="22"/>
        <v>3.6463891850538406E-3</v>
      </c>
      <c r="W117" s="2"/>
      <c r="X117" s="6">
        <f t="shared" si="23"/>
        <v>-3090.8641894230714</v>
      </c>
      <c r="Y117" s="2"/>
      <c r="Z117" s="7">
        <f t="shared" si="24"/>
        <v>-0.19528412355790792</v>
      </c>
    </row>
    <row r="118" spans="1:26" s="24" customFormat="1" hidden="1" outlineLevel="2" x14ac:dyDescent="0.25">
      <c r="A118" s="28"/>
      <c r="B118" s="11" t="str">
        <f>CONCATENATE("          ", "6113", " - ", "GROUP INSURANCE")</f>
        <v xml:space="preserve">          6113 - GROUP INSURANCE</v>
      </c>
      <c r="C118" s="11"/>
      <c r="D118" s="6">
        <v>14801.22</v>
      </c>
      <c r="E118" s="2"/>
      <c r="F118" s="7">
        <f t="shared" si="17"/>
        <v>0.13337717596388152</v>
      </c>
      <c r="G118" s="2"/>
      <c r="H118" s="6">
        <v>17287.5</v>
      </c>
      <c r="I118" s="2"/>
      <c r="J118" s="7">
        <f t="shared" si="18"/>
        <v>4.8805379813840824E-2</v>
      </c>
      <c r="K118" s="2"/>
      <c r="L118" s="6">
        <f t="shared" si="19"/>
        <v>-2486.2800000000007</v>
      </c>
      <c r="M118" s="2"/>
      <c r="N118" s="7">
        <f t="shared" si="20"/>
        <v>-0.1438195227765727</v>
      </c>
      <c r="O118" s="11"/>
      <c r="P118" s="6">
        <v>73387.430000000008</v>
      </c>
      <c r="Q118" s="2"/>
      <c r="R118" s="7">
        <f t="shared" si="21"/>
        <v>2.9771983166520282E-2</v>
      </c>
      <c r="S118" s="2"/>
      <c r="T118" s="6">
        <v>87997.499999999971</v>
      </c>
      <c r="U118" s="2"/>
      <c r="V118" s="7">
        <f t="shared" si="22"/>
        <v>2.0273109582495692E-2</v>
      </c>
      <c r="W118" s="2"/>
      <c r="X118" s="6">
        <f t="shared" si="23"/>
        <v>-14610.069999999963</v>
      </c>
      <c r="Y118" s="2"/>
      <c r="Z118" s="7">
        <f t="shared" si="24"/>
        <v>-0.16602823943862005</v>
      </c>
    </row>
    <row r="119" spans="1:26" s="24" customFormat="1" hidden="1" outlineLevel="2" x14ac:dyDescent="0.25">
      <c r="A119" s="28"/>
      <c r="B119" s="11" t="str">
        <f>CONCATENATE("          ", "6114", " - ", "STATE UNEMPLOYMENT INSURANCE")</f>
        <v xml:space="preserve">          6114 - STATE UNEMPLOYMENT INSURANCE</v>
      </c>
      <c r="C119" s="11"/>
      <c r="D119" s="6">
        <v>510.18</v>
      </c>
      <c r="E119" s="2"/>
      <c r="F119" s="7">
        <f t="shared" si="17"/>
        <v>4.5973485721618268E-3</v>
      </c>
      <c r="G119" s="2"/>
      <c r="H119" s="6">
        <v>360.92167000000001</v>
      </c>
      <c r="I119" s="2"/>
      <c r="J119" s="7">
        <f t="shared" si="18"/>
        <v>1.0189396493070553E-3</v>
      </c>
      <c r="K119" s="2"/>
      <c r="L119" s="6">
        <f t="shared" si="19"/>
        <v>149.25833</v>
      </c>
      <c r="M119" s="2"/>
      <c r="N119" s="7">
        <f t="shared" si="20"/>
        <v>0.41354770967340365</v>
      </c>
      <c r="O119" s="11"/>
      <c r="P119" s="6">
        <v>1948.27</v>
      </c>
      <c r="Q119" s="2"/>
      <c r="R119" s="7">
        <f t="shared" si="21"/>
        <v>7.9037870169096347E-4</v>
      </c>
      <c r="S119" s="2"/>
      <c r="T119" s="6">
        <v>2241.2412049999998</v>
      </c>
      <c r="U119" s="2"/>
      <c r="V119" s="7">
        <f t="shared" si="22"/>
        <v>5.1634340236676843E-4</v>
      </c>
      <c r="W119" s="2"/>
      <c r="X119" s="6">
        <f t="shared" si="23"/>
        <v>-292.97120499999983</v>
      </c>
      <c r="Y119" s="2"/>
      <c r="Z119" s="7">
        <f t="shared" si="24"/>
        <v>-0.13071828429104748</v>
      </c>
    </row>
    <row r="120" spans="1:26" s="24" customFormat="1" hidden="1" outlineLevel="2" x14ac:dyDescent="0.25">
      <c r="A120" s="28"/>
      <c r="B120" s="11" t="str">
        <f>CONCATENATE("          ", "6115", " - ", "P.E.R.S.")</f>
        <v xml:space="preserve">          6115 - P.E.R.S.</v>
      </c>
      <c r="C120" s="11"/>
      <c r="D120" s="6">
        <v>8378.09</v>
      </c>
      <c r="E120" s="2"/>
      <c r="F120" s="7">
        <f t="shared" si="17"/>
        <v>7.549688364683696E-2</v>
      </c>
      <c r="G120" s="2"/>
      <c r="H120" s="6">
        <v>4692.7557153846165</v>
      </c>
      <c r="I120" s="2"/>
      <c r="J120" s="7">
        <f t="shared" si="18"/>
        <v>1.3248400582092177E-2</v>
      </c>
      <c r="K120" s="2"/>
      <c r="L120" s="6">
        <f t="shared" si="19"/>
        <v>3685.3342846153837</v>
      </c>
      <c r="M120" s="2"/>
      <c r="N120" s="7">
        <f t="shared" si="20"/>
        <v>0.7853241268309521</v>
      </c>
      <c r="O120" s="11"/>
      <c r="P120" s="6">
        <v>33561.26</v>
      </c>
      <c r="Q120" s="2"/>
      <c r="R120" s="7">
        <f t="shared" si="21"/>
        <v>1.3615209958533913E-2</v>
      </c>
      <c r="S120" s="2"/>
      <c r="T120" s="6">
        <v>25810.156434615386</v>
      </c>
      <c r="U120" s="2"/>
      <c r="V120" s="7">
        <f t="shared" si="22"/>
        <v>5.9462158554540101E-3</v>
      </c>
      <c r="W120" s="2"/>
      <c r="X120" s="6">
        <f t="shared" si="23"/>
        <v>7751.1035653846156</v>
      </c>
      <c r="Y120" s="2"/>
      <c r="Z120" s="7">
        <f t="shared" si="24"/>
        <v>0.30031214979345089</v>
      </c>
    </row>
    <row r="121" spans="1:26" s="24" customFormat="1" hidden="1" outlineLevel="2" x14ac:dyDescent="0.25">
      <c r="A121" s="28"/>
      <c r="B121" s="11" t="str">
        <f>CONCATENATE("          ", "6116", " - ", "EDUCATIONAL BENEFITS")</f>
        <v xml:space="preserve">          6116 - EDUCATIONAL BENEFITS</v>
      </c>
      <c r="C121" s="11"/>
      <c r="D121" s="6"/>
      <c r="E121" s="2"/>
      <c r="F121" s="7">
        <f t="shared" si="17"/>
        <v>0</v>
      </c>
      <c r="G121" s="2"/>
      <c r="H121" s="6">
        <v>0</v>
      </c>
      <c r="I121" s="2"/>
      <c r="J121" s="7">
        <f t="shared" si="18"/>
        <v>0</v>
      </c>
      <c r="K121" s="2"/>
      <c r="L121" s="6">
        <f t="shared" si="19"/>
        <v>0</v>
      </c>
      <c r="M121" s="2"/>
      <c r="N121" s="7">
        <f t="shared" si="20"/>
        <v>0</v>
      </c>
      <c r="O121" s="11"/>
      <c r="P121" s="6">
        <v>0</v>
      </c>
      <c r="Q121" s="2"/>
      <c r="R121" s="7">
        <f t="shared" si="21"/>
        <v>0</v>
      </c>
      <c r="S121" s="2"/>
      <c r="T121" s="6">
        <v>0</v>
      </c>
      <c r="U121" s="2"/>
      <c r="V121" s="7">
        <f t="shared" si="22"/>
        <v>0</v>
      </c>
      <c r="W121" s="2"/>
      <c r="X121" s="6">
        <f t="shared" si="23"/>
        <v>0</v>
      </c>
      <c r="Y121" s="2"/>
      <c r="Z121" s="7">
        <f t="shared" si="24"/>
        <v>0</v>
      </c>
    </row>
    <row r="122" spans="1:26" s="24" customFormat="1" hidden="1" outlineLevel="2" x14ac:dyDescent="0.25">
      <c r="A122" s="28"/>
      <c r="B122" s="11" t="str">
        <f>CONCATENATE("          ", "6117", " - ", "RETIREMENT STAFF HOURLY")</f>
        <v xml:space="preserve">          6117 - RETIREMENT STAFF HOURLY</v>
      </c>
      <c r="C122" s="11"/>
      <c r="D122" s="6">
        <v>232.91</v>
      </c>
      <c r="E122" s="2"/>
      <c r="F122" s="7">
        <f t="shared" si="17"/>
        <v>2.0988052372539318E-3</v>
      </c>
      <c r="G122" s="2"/>
      <c r="H122" s="6"/>
      <c r="I122" s="2"/>
      <c r="J122" s="7">
        <f t="shared" si="18"/>
        <v>0</v>
      </c>
      <c r="K122" s="2"/>
      <c r="L122" s="6">
        <f t="shared" si="19"/>
        <v>232.91</v>
      </c>
      <c r="M122" s="2"/>
      <c r="N122" s="7">
        <f t="shared" si="20"/>
        <v>0</v>
      </c>
      <c r="O122" s="11"/>
      <c r="P122" s="6">
        <v>1293.6500000000001</v>
      </c>
      <c r="Q122" s="2"/>
      <c r="R122" s="7">
        <f t="shared" si="21"/>
        <v>5.248109386494248E-4</v>
      </c>
      <c r="S122" s="2"/>
      <c r="T122" s="6"/>
      <c r="U122" s="2"/>
      <c r="V122" s="7">
        <f t="shared" si="22"/>
        <v>0</v>
      </c>
      <c r="W122" s="2"/>
      <c r="X122" s="6">
        <f t="shared" si="23"/>
        <v>1293.6500000000001</v>
      </c>
      <c r="Y122" s="2"/>
      <c r="Z122" s="7">
        <f t="shared" si="24"/>
        <v>0</v>
      </c>
    </row>
    <row r="123" spans="1:26" s="24" customFormat="1" hidden="1" outlineLevel="2" x14ac:dyDescent="0.25">
      <c r="A123" s="28"/>
      <c r="B123" s="11" t="str">
        <f>CONCATENATE("          ", "6118", " - ", "VACATION")</f>
        <v xml:space="preserve">          6118 - VACATION</v>
      </c>
      <c r="C123" s="11"/>
      <c r="D123" s="6">
        <v>5161.6000000000004</v>
      </c>
      <c r="E123" s="2"/>
      <c r="F123" s="7">
        <f t="shared" si="17"/>
        <v>4.6512357187797414E-2</v>
      </c>
      <c r="G123" s="2"/>
      <c r="H123" s="6">
        <v>3945.7434200000012</v>
      </c>
      <c r="I123" s="2"/>
      <c r="J123" s="7">
        <f t="shared" si="18"/>
        <v>1.1139465293481608E-2</v>
      </c>
      <c r="K123" s="2"/>
      <c r="L123" s="6">
        <f t="shared" si="19"/>
        <v>1215.8565799999992</v>
      </c>
      <c r="M123" s="2"/>
      <c r="N123" s="7">
        <f t="shared" si="20"/>
        <v>0.30814385290161589</v>
      </c>
      <c r="O123" s="11"/>
      <c r="P123" s="6">
        <v>26435.31</v>
      </c>
      <c r="Q123" s="2"/>
      <c r="R123" s="7">
        <f t="shared" si="21"/>
        <v>1.0724338000686838E-2</v>
      </c>
      <c r="S123" s="2"/>
      <c r="T123" s="6">
        <v>21701.588809999994</v>
      </c>
      <c r="U123" s="2"/>
      <c r="V123" s="7">
        <f t="shared" si="22"/>
        <v>4.999672582282364E-3</v>
      </c>
      <c r="W123" s="2"/>
      <c r="X123" s="6">
        <f t="shared" si="23"/>
        <v>4733.7211900000075</v>
      </c>
      <c r="Y123" s="2"/>
      <c r="Z123" s="7">
        <f t="shared" si="24"/>
        <v>0.21812786296175377</v>
      </c>
    </row>
    <row r="124" spans="1:26" s="24" customFormat="1" hidden="1" outlineLevel="2" x14ac:dyDescent="0.25">
      <c r="A124" s="28"/>
      <c r="B124" s="11" t="str">
        <f>CONCATENATE("          ", "6119", " - ", "SICK LEAVE")</f>
        <v xml:space="preserve">          6119 - SICK LEAVE</v>
      </c>
      <c r="C124" s="11"/>
      <c r="D124" s="6">
        <v>3729.66</v>
      </c>
      <c r="E124" s="2"/>
      <c r="F124" s="7">
        <f t="shared" si="17"/>
        <v>3.3608818604510322E-2</v>
      </c>
      <c r="G124" s="2"/>
      <c r="H124" s="6">
        <v>3845.8507030769197</v>
      </c>
      <c r="I124" s="2"/>
      <c r="J124" s="7">
        <f t="shared" si="18"/>
        <v>1.0857452163181248E-2</v>
      </c>
      <c r="K124" s="2"/>
      <c r="L124" s="6">
        <f t="shared" si="19"/>
        <v>-116.19070307691982</v>
      </c>
      <c r="M124" s="2"/>
      <c r="N124" s="7">
        <f t="shared" si="20"/>
        <v>-3.0211964022409925E-2</v>
      </c>
      <c r="O124" s="11"/>
      <c r="P124" s="6">
        <v>19349.12</v>
      </c>
      <c r="Q124" s="2"/>
      <c r="R124" s="7">
        <f t="shared" si="21"/>
        <v>7.8495959720483576E-3</v>
      </c>
      <c r="S124" s="2"/>
      <c r="T124" s="6">
        <v>22887.19986692306</v>
      </c>
      <c r="U124" s="2"/>
      <c r="V124" s="7">
        <f t="shared" si="22"/>
        <v>5.2728169656934823E-3</v>
      </c>
      <c r="W124" s="2"/>
      <c r="X124" s="6">
        <f t="shared" si="23"/>
        <v>-3538.0798669230608</v>
      </c>
      <c r="Y124" s="2"/>
      <c r="Z124" s="7">
        <f t="shared" si="24"/>
        <v>-0.15458771223632076</v>
      </c>
    </row>
    <row r="125" spans="1:26" s="24" customFormat="1" hidden="1" outlineLevel="2" x14ac:dyDescent="0.25">
      <c r="A125" s="28"/>
      <c r="B125" s="11" t="str">
        <f>CONCATENATE("          ", "6156", " - ", "EMPLOYEE MEALS")</f>
        <v xml:space="preserve">          6156 - EMPLOYEE MEALS</v>
      </c>
      <c r="C125" s="11"/>
      <c r="D125" s="6">
        <v>1548.91</v>
      </c>
      <c r="E125" s="2"/>
      <c r="F125" s="7">
        <f t="shared" si="17"/>
        <v>1.3957581984607738E-2</v>
      </c>
      <c r="G125" s="2"/>
      <c r="H125" s="6">
        <v>1625</v>
      </c>
      <c r="I125" s="2"/>
      <c r="J125" s="7">
        <f t="shared" si="18"/>
        <v>4.5876351234991376E-3</v>
      </c>
      <c r="K125" s="2"/>
      <c r="L125" s="6">
        <f t="shared" si="19"/>
        <v>-76.089999999999918</v>
      </c>
      <c r="M125" s="2"/>
      <c r="N125" s="7">
        <f t="shared" si="20"/>
        <v>-4.6824615384615333E-2</v>
      </c>
      <c r="O125" s="11"/>
      <c r="P125" s="6">
        <v>7629.87</v>
      </c>
      <c r="Q125" s="2"/>
      <c r="R125" s="7">
        <f t="shared" si="21"/>
        <v>3.0953033946377203E-3</v>
      </c>
      <c r="S125" s="2"/>
      <c r="T125" s="6">
        <v>8125</v>
      </c>
      <c r="U125" s="2"/>
      <c r="V125" s="7">
        <f t="shared" si="22"/>
        <v>1.871860170547772E-3</v>
      </c>
      <c r="W125" s="2"/>
      <c r="X125" s="6">
        <f t="shared" si="23"/>
        <v>-495.13000000000011</v>
      </c>
      <c r="Y125" s="2"/>
      <c r="Z125" s="7">
        <f t="shared" si="24"/>
        <v>-6.0939076923076936E-2</v>
      </c>
    </row>
    <row r="126" spans="1:26" s="29" customFormat="1" outlineLevel="1" collapsed="1" x14ac:dyDescent="0.25">
      <c r="A126" s="27"/>
      <c r="B126" s="14" t="str">
        <f>CONCATENATE("     ","*Payroll                                          ")</f>
        <v xml:space="preserve">     *Payroll                                          </v>
      </c>
      <c r="C126" s="14"/>
      <c r="D126" s="1">
        <f>SUM(OSRRefD22_1x_0)</f>
        <v>92205.430000000008</v>
      </c>
      <c r="E126" s="1"/>
      <c r="F126" s="5">
        <f t="shared" ref="F126:F136" si="25">IF(D$12=0,0,D126/D$12)</f>
        <v>0.83088420156820586</v>
      </c>
      <c r="G126" s="1"/>
      <c r="H126" s="1">
        <f>SUM(OSRRefH22_1x_0)</f>
        <v>127153.41778215386</v>
      </c>
      <c r="I126" s="1"/>
      <c r="J126" s="5">
        <f t="shared" ref="J126:J136" si="26">IF(H$12=0,0,H126/H$12)</f>
        <v>0.35897445260945776</v>
      </c>
      <c r="K126" s="1"/>
      <c r="L126" s="1">
        <f t="shared" ref="L126:L136" si="27">+D126-H126</f>
        <v>-34947.987782153854</v>
      </c>
      <c r="M126" s="1"/>
      <c r="N126" s="5">
        <f t="shared" ref="N126:N136" si="28">IF(H126=0,0,L126/H126)</f>
        <v>-0.27484898472826458</v>
      </c>
      <c r="O126" s="14"/>
      <c r="P126" s="1">
        <f>SUM(OSRRefP22_1x_0)</f>
        <v>610409.8600000001</v>
      </c>
      <c r="Q126" s="1"/>
      <c r="R126" s="5">
        <f t="shared" ref="R126:R136" si="29">IF(P$12=0,0,P126/P$12)</f>
        <v>0.24763249069490514</v>
      </c>
      <c r="S126" s="1"/>
      <c r="T126" s="1">
        <f>SUM(OSRRefT22_1x_0)</f>
        <v>800691.49780184636</v>
      </c>
      <c r="U126" s="1"/>
      <c r="V126" s="5">
        <f t="shared" ref="V126:V136" si="30">IF(T$12=0,0,T126/T$12)</f>
        <v>0.18446554137003263</v>
      </c>
      <c r="W126" s="1"/>
      <c r="X126" s="1">
        <f t="shared" ref="X126:X136" si="31">+P126-T126</f>
        <v>-190281.63780184626</v>
      </c>
      <c r="Y126" s="1"/>
      <c r="Z126" s="5">
        <f t="shared" ref="Z126:Z136" si="32">IF(T126=0,0,X126/T126)</f>
        <v>-0.23764663209766815</v>
      </c>
    </row>
    <row r="127" spans="1:26" s="24" customFormat="1" hidden="1" outlineLevel="2" x14ac:dyDescent="0.25">
      <c r="A127" s="28"/>
      <c r="B127" s="11" t="str">
        <f>CONCATENATE("          ", "6001", " - ", "ADMINISTRATIVE SALARIES")</f>
        <v xml:space="preserve">          6001 - ADMINISTRATIVE SALARIES</v>
      </c>
      <c r="C127" s="11"/>
      <c r="D127" s="6">
        <v>3995.45</v>
      </c>
      <c r="E127" s="2"/>
      <c r="F127" s="7">
        <f t="shared" si="25"/>
        <v>3.6003913035877473E-2</v>
      </c>
      <c r="G127" s="2"/>
      <c r="H127" s="6">
        <v>7759.6923076923094</v>
      </c>
      <c r="I127" s="2"/>
      <c r="J127" s="7">
        <f t="shared" si="26"/>
        <v>2.1906853525117117E-2</v>
      </c>
      <c r="K127" s="2"/>
      <c r="L127" s="6">
        <f t="shared" si="27"/>
        <v>-3764.2423076923096</v>
      </c>
      <c r="M127" s="2"/>
      <c r="N127" s="7">
        <f t="shared" si="28"/>
        <v>-0.4851020064237283</v>
      </c>
      <c r="O127" s="11"/>
      <c r="P127" s="6">
        <v>21137.95</v>
      </c>
      <c r="Q127" s="2"/>
      <c r="R127" s="7">
        <f t="shared" si="29"/>
        <v>8.5752926839752705E-3</v>
      </c>
      <c r="S127" s="2"/>
      <c r="T127" s="6">
        <v>42678.30769230771</v>
      </c>
      <c r="U127" s="2"/>
      <c r="V127" s="7">
        <f t="shared" si="30"/>
        <v>9.8323476080754944E-3</v>
      </c>
      <c r="W127" s="2"/>
      <c r="X127" s="6">
        <f t="shared" si="31"/>
        <v>-21540.357692307709</v>
      </c>
      <c r="Y127" s="2"/>
      <c r="Z127" s="7">
        <f t="shared" si="32"/>
        <v>-0.50471442887577567</v>
      </c>
    </row>
    <row r="128" spans="1:26" s="24" customFormat="1" hidden="1" outlineLevel="2" x14ac:dyDescent="0.25">
      <c r="A128" s="28"/>
      <c r="B128" s="11" t="str">
        <f>CONCATENATE("          ", "6002", " - ", "STAFF SALARIES")</f>
        <v xml:space="preserve">          6002 - STAFF SALARIES</v>
      </c>
      <c r="C128" s="11"/>
      <c r="D128" s="6">
        <v>47983.77</v>
      </c>
      <c r="E128" s="2"/>
      <c r="F128" s="7">
        <f t="shared" si="25"/>
        <v>0.43239271726928041</v>
      </c>
      <c r="G128" s="2"/>
      <c r="H128" s="6">
        <v>41207.275394461554</v>
      </c>
      <c r="I128" s="2"/>
      <c r="J128" s="7">
        <f t="shared" si="26"/>
        <v>0.11633473473435914</v>
      </c>
      <c r="K128" s="2"/>
      <c r="L128" s="6">
        <f t="shared" si="27"/>
        <v>6776.4946055384426</v>
      </c>
      <c r="M128" s="2"/>
      <c r="N128" s="7">
        <f t="shared" si="28"/>
        <v>0.16444898481323117</v>
      </c>
      <c r="O128" s="11"/>
      <c r="P128" s="6">
        <v>274957.94</v>
      </c>
      <c r="Q128" s="2"/>
      <c r="R128" s="7">
        <f t="shared" si="29"/>
        <v>0.111545576145412</v>
      </c>
      <c r="S128" s="2"/>
      <c r="T128" s="6">
        <v>226640.01466953862</v>
      </c>
      <c r="U128" s="2"/>
      <c r="V128" s="7">
        <f t="shared" si="30"/>
        <v>5.2213958955356569E-2</v>
      </c>
      <c r="W128" s="2"/>
      <c r="X128" s="6">
        <f t="shared" si="31"/>
        <v>48317.925330461381</v>
      </c>
      <c r="Y128" s="2"/>
      <c r="Z128" s="7">
        <f t="shared" si="32"/>
        <v>0.21319238529397921</v>
      </c>
    </row>
    <row r="129" spans="1:26" s="24" customFormat="1" hidden="1" outlineLevel="2" x14ac:dyDescent="0.25">
      <c r="A129" s="28"/>
      <c r="B129" s="11" t="str">
        <f>CONCATENATE("          ", "6003", " - ", "STAFF HOURLY-9 MONTH")</f>
        <v xml:space="preserve">          6003 - STAFF HOURLY-9 MONTH</v>
      </c>
      <c r="C129" s="11"/>
      <c r="D129" s="6"/>
      <c r="E129" s="2"/>
      <c r="F129" s="7">
        <f t="shared" si="25"/>
        <v>0</v>
      </c>
      <c r="G129" s="2"/>
      <c r="H129" s="6">
        <v>0</v>
      </c>
      <c r="I129" s="2"/>
      <c r="J129" s="7">
        <f t="shared" si="26"/>
        <v>0</v>
      </c>
      <c r="K129" s="2"/>
      <c r="L129" s="6">
        <f t="shared" si="27"/>
        <v>0</v>
      </c>
      <c r="M129" s="2"/>
      <c r="N129" s="7">
        <f t="shared" si="28"/>
        <v>0</v>
      </c>
      <c r="O129" s="11"/>
      <c r="P129" s="6"/>
      <c r="Q129" s="2"/>
      <c r="R129" s="7">
        <f t="shared" si="29"/>
        <v>0</v>
      </c>
      <c r="S129" s="2"/>
      <c r="T129" s="6">
        <v>0</v>
      </c>
      <c r="U129" s="2"/>
      <c r="V129" s="7">
        <f t="shared" si="30"/>
        <v>0</v>
      </c>
      <c r="W129" s="2"/>
      <c r="X129" s="6">
        <f t="shared" si="31"/>
        <v>0</v>
      </c>
      <c r="Y129" s="2"/>
      <c r="Z129" s="7">
        <f t="shared" si="32"/>
        <v>0</v>
      </c>
    </row>
    <row r="130" spans="1:26" s="24" customFormat="1" hidden="1" outlineLevel="2" x14ac:dyDescent="0.25">
      <c r="A130" s="28"/>
      <c r="B130" s="11" t="str">
        <f>CONCATENATE("          ", "6004", " - ", "STAFF HOURLY")</f>
        <v xml:space="preserve">          6004 - STAFF HOURLY</v>
      </c>
      <c r="C130" s="11"/>
      <c r="D130" s="6">
        <v>11939.34</v>
      </c>
      <c r="E130" s="2"/>
      <c r="F130" s="7">
        <f t="shared" si="25"/>
        <v>0.10758812125437019</v>
      </c>
      <c r="G130" s="2"/>
      <c r="H130" s="6">
        <v>24695.950079999999</v>
      </c>
      <c r="I130" s="2"/>
      <c r="J130" s="7">
        <f t="shared" si="26"/>
        <v>6.972062030473189E-2</v>
      </c>
      <c r="K130" s="2"/>
      <c r="L130" s="6">
        <f t="shared" si="27"/>
        <v>-12756.610079999999</v>
      </c>
      <c r="M130" s="2"/>
      <c r="N130" s="7">
        <f t="shared" si="28"/>
        <v>-0.51654664180467924</v>
      </c>
      <c r="O130" s="11"/>
      <c r="P130" s="6">
        <v>75516.14</v>
      </c>
      <c r="Q130" s="2"/>
      <c r="R130" s="7">
        <f t="shared" si="29"/>
        <v>3.0635563186782649E-2</v>
      </c>
      <c r="S130" s="2"/>
      <c r="T130" s="6">
        <v>135307.52544</v>
      </c>
      <c r="U130" s="2"/>
      <c r="V130" s="7">
        <f t="shared" si="30"/>
        <v>3.1172525248801895E-2</v>
      </c>
      <c r="W130" s="2"/>
      <c r="X130" s="6">
        <f t="shared" si="31"/>
        <v>-59791.385439999998</v>
      </c>
      <c r="Y130" s="2"/>
      <c r="Z130" s="7">
        <f t="shared" si="32"/>
        <v>-0.44189253513850973</v>
      </c>
    </row>
    <row r="131" spans="1:26" s="24" customFormat="1" hidden="1" outlineLevel="2" x14ac:dyDescent="0.25">
      <c r="A131" s="28"/>
      <c r="B131" s="11" t="str">
        <f>CONCATENATE("          ", "6005", " - ", "TEMPORARY WAGES-HOURLY")</f>
        <v xml:space="preserve">          6005 - TEMPORARY WAGES-HOURLY</v>
      </c>
      <c r="C131" s="11"/>
      <c r="D131" s="6">
        <v>7697.23</v>
      </c>
      <c r="E131" s="2"/>
      <c r="F131" s="7">
        <f t="shared" si="25"/>
        <v>6.9361498588931703E-2</v>
      </c>
      <c r="G131" s="2"/>
      <c r="H131" s="6">
        <v>2850</v>
      </c>
      <c r="I131" s="2"/>
      <c r="J131" s="7">
        <f t="shared" si="26"/>
        <v>8.0460062165984871E-3</v>
      </c>
      <c r="K131" s="2"/>
      <c r="L131" s="6">
        <f t="shared" si="27"/>
        <v>4847.2299999999996</v>
      </c>
      <c r="M131" s="2"/>
      <c r="N131" s="7">
        <f t="shared" si="28"/>
        <v>1.7007824561403506</v>
      </c>
      <c r="O131" s="11"/>
      <c r="P131" s="6">
        <v>88066.13</v>
      </c>
      <c r="Q131" s="2"/>
      <c r="R131" s="7">
        <f t="shared" si="29"/>
        <v>3.5726872298165867E-2</v>
      </c>
      <c r="S131" s="2"/>
      <c r="T131" s="6">
        <v>17100</v>
      </c>
      <c r="U131" s="2"/>
      <c r="V131" s="7">
        <f t="shared" si="30"/>
        <v>3.9395457127836186E-3</v>
      </c>
      <c r="W131" s="2"/>
      <c r="X131" s="6">
        <f t="shared" si="31"/>
        <v>70966.13</v>
      </c>
      <c r="Y131" s="2"/>
      <c r="Z131" s="7">
        <f t="shared" si="32"/>
        <v>4.1500660818713451</v>
      </c>
    </row>
    <row r="132" spans="1:26" s="24" customFormat="1" hidden="1" outlineLevel="2" x14ac:dyDescent="0.25">
      <c r="A132" s="28"/>
      <c r="B132" s="11" t="str">
        <f>CONCATENATE("          ", "6006", " - ", "TEMPORARY PART TIME")</f>
        <v xml:space="preserve">          6006 - TEMPORARY PART TIME</v>
      </c>
      <c r="C132" s="11"/>
      <c r="D132" s="6">
        <v>1048.44</v>
      </c>
      <c r="E132" s="2"/>
      <c r="F132" s="7">
        <f t="shared" si="25"/>
        <v>9.4477324414860356E-3</v>
      </c>
      <c r="G132" s="2"/>
      <c r="H132" s="6">
        <v>0</v>
      </c>
      <c r="I132" s="2"/>
      <c r="J132" s="7">
        <f t="shared" si="26"/>
        <v>0</v>
      </c>
      <c r="K132" s="2"/>
      <c r="L132" s="6">
        <f t="shared" si="27"/>
        <v>1048.44</v>
      </c>
      <c r="M132" s="2"/>
      <c r="N132" s="7">
        <f t="shared" si="28"/>
        <v>0</v>
      </c>
      <c r="O132" s="11"/>
      <c r="P132" s="6">
        <v>8555.61</v>
      </c>
      <c r="Q132" s="2"/>
      <c r="R132" s="7">
        <f t="shared" si="29"/>
        <v>3.4708597494054849E-3</v>
      </c>
      <c r="S132" s="2"/>
      <c r="T132" s="6">
        <v>0</v>
      </c>
      <c r="U132" s="2"/>
      <c r="V132" s="7">
        <f t="shared" si="30"/>
        <v>0</v>
      </c>
      <c r="W132" s="2"/>
      <c r="X132" s="6">
        <f t="shared" si="31"/>
        <v>8555.61</v>
      </c>
      <c r="Y132" s="2"/>
      <c r="Z132" s="7">
        <f t="shared" si="32"/>
        <v>0</v>
      </c>
    </row>
    <row r="133" spans="1:26" s="24" customFormat="1" hidden="1" outlineLevel="2" x14ac:dyDescent="0.25">
      <c r="A133" s="28"/>
      <c r="B133" s="11" t="str">
        <f>CONCATENATE("          ", "6007", " - ", "STUDENT HOURLY")</f>
        <v xml:space="preserve">          6007 - STUDENT HOURLY</v>
      </c>
      <c r="C133" s="11"/>
      <c r="D133" s="6">
        <v>18658.63</v>
      </c>
      <c r="E133" s="2"/>
      <c r="F133" s="7">
        <f t="shared" si="25"/>
        <v>0.16813717901328126</v>
      </c>
      <c r="G133" s="2"/>
      <c r="H133" s="6">
        <v>0</v>
      </c>
      <c r="I133" s="2"/>
      <c r="J133" s="7">
        <f t="shared" si="26"/>
        <v>0</v>
      </c>
      <c r="K133" s="2"/>
      <c r="L133" s="6">
        <f t="shared" si="27"/>
        <v>18658.63</v>
      </c>
      <c r="M133" s="2"/>
      <c r="N133" s="7">
        <f t="shared" si="28"/>
        <v>0</v>
      </c>
      <c r="O133" s="11"/>
      <c r="P133" s="6">
        <v>138328.79999999999</v>
      </c>
      <c r="Q133" s="2"/>
      <c r="R133" s="7">
        <f t="shared" si="29"/>
        <v>5.6117549082246782E-2</v>
      </c>
      <c r="S133" s="2"/>
      <c r="T133" s="6">
        <v>136745</v>
      </c>
      <c r="U133" s="2"/>
      <c r="V133" s="7">
        <f t="shared" si="30"/>
        <v>3.1503694648806778E-2</v>
      </c>
      <c r="W133" s="2"/>
      <c r="X133" s="6">
        <f t="shared" si="31"/>
        <v>1583.7999999999884</v>
      </c>
      <c r="Y133" s="2"/>
      <c r="Z133" s="7">
        <f t="shared" si="32"/>
        <v>1.1582141943032568E-2</v>
      </c>
    </row>
    <row r="134" spans="1:26" s="24" customFormat="1" hidden="1" outlineLevel="2" x14ac:dyDescent="0.25">
      <c r="A134" s="28"/>
      <c r="B134" s="11" t="str">
        <f>CONCATENATE("          ", "6008", " - ", "STUDENT HOURLY-FICA EXEMPT")</f>
        <v xml:space="preserve">          6008 - STUDENT HOURLY-FICA EXEMPT</v>
      </c>
      <c r="C134" s="11"/>
      <c r="D134" s="6">
        <v>882.57</v>
      </c>
      <c r="E134" s="2"/>
      <c r="F134" s="7">
        <f t="shared" si="25"/>
        <v>7.9530399649787604E-3</v>
      </c>
      <c r="G134" s="2"/>
      <c r="H134" s="6">
        <v>50640.5</v>
      </c>
      <c r="I134" s="2"/>
      <c r="J134" s="7">
        <f t="shared" si="26"/>
        <v>0.14296623782865112</v>
      </c>
      <c r="K134" s="2"/>
      <c r="L134" s="6">
        <f t="shared" si="27"/>
        <v>-49757.93</v>
      </c>
      <c r="M134" s="2"/>
      <c r="N134" s="7">
        <f t="shared" si="28"/>
        <v>-0.98257185454330032</v>
      </c>
      <c r="O134" s="11"/>
      <c r="P134" s="6">
        <v>3847.29</v>
      </c>
      <c r="Q134" s="2"/>
      <c r="R134" s="7">
        <f t="shared" si="29"/>
        <v>1.560777548917053E-3</v>
      </c>
      <c r="S134" s="2"/>
      <c r="T134" s="6">
        <v>242220.65000000002</v>
      </c>
      <c r="U134" s="2"/>
      <c r="V134" s="7">
        <f t="shared" si="30"/>
        <v>5.5803469196208273E-2</v>
      </c>
      <c r="W134" s="2"/>
      <c r="X134" s="6">
        <f t="shared" si="31"/>
        <v>-238373.36000000002</v>
      </c>
      <c r="Y134" s="2"/>
      <c r="Z134" s="7">
        <f t="shared" si="32"/>
        <v>-0.98411658956410197</v>
      </c>
    </row>
    <row r="135" spans="1:26" s="24" customFormat="1" hidden="1" outlineLevel="2" x14ac:dyDescent="0.25">
      <c r="A135" s="28"/>
      <c r="B135" s="11" t="str">
        <f>CONCATENATE("          ", "6009", " - ", "TEMPORARY-SEASONAL")</f>
        <v xml:space="preserve">          6009 - TEMPORARY-SEASONAL</v>
      </c>
      <c r="C135" s="11"/>
      <c r="D135" s="6"/>
      <c r="E135" s="2"/>
      <c r="F135" s="7">
        <f t="shared" si="25"/>
        <v>0</v>
      </c>
      <c r="G135" s="2"/>
      <c r="H135" s="6">
        <v>0</v>
      </c>
      <c r="I135" s="2"/>
      <c r="J135" s="7">
        <f t="shared" si="26"/>
        <v>0</v>
      </c>
      <c r="K135" s="2"/>
      <c r="L135" s="6">
        <f t="shared" si="27"/>
        <v>0</v>
      </c>
      <c r="M135" s="2"/>
      <c r="N135" s="7">
        <f t="shared" si="28"/>
        <v>0</v>
      </c>
      <c r="O135" s="11"/>
      <c r="P135" s="6"/>
      <c r="Q135" s="2"/>
      <c r="R135" s="7">
        <f t="shared" si="29"/>
        <v>0</v>
      </c>
      <c r="S135" s="2"/>
      <c r="T135" s="6">
        <v>0</v>
      </c>
      <c r="U135" s="2"/>
      <c r="V135" s="7">
        <f t="shared" si="30"/>
        <v>0</v>
      </c>
      <c r="W135" s="2"/>
      <c r="X135" s="6">
        <f t="shared" si="31"/>
        <v>0</v>
      </c>
      <c r="Y135" s="2"/>
      <c r="Z135" s="7">
        <f t="shared" si="32"/>
        <v>0</v>
      </c>
    </row>
    <row r="136" spans="1:26" s="24" customFormat="1" hidden="1" outlineLevel="2" x14ac:dyDescent="0.25">
      <c r="A136" s="28"/>
      <c r="B136" s="11" t="str">
        <f>CONCATENATE("          ", "6010", " - ", "GRATUITY")</f>
        <v xml:space="preserve">          6010 - GRATUITY</v>
      </c>
      <c r="C136" s="11"/>
      <c r="D136" s="6"/>
      <c r="E136" s="2"/>
      <c r="F136" s="7">
        <f t="shared" si="25"/>
        <v>0</v>
      </c>
      <c r="G136" s="2"/>
      <c r="H136" s="6">
        <v>0</v>
      </c>
      <c r="I136" s="2"/>
      <c r="J136" s="7">
        <f t="shared" si="26"/>
        <v>0</v>
      </c>
      <c r="K136" s="2"/>
      <c r="L136" s="6">
        <f t="shared" si="27"/>
        <v>0</v>
      </c>
      <c r="M136" s="2"/>
      <c r="N136" s="7">
        <f t="shared" si="28"/>
        <v>0</v>
      </c>
      <c r="O136" s="11"/>
      <c r="P136" s="6"/>
      <c r="Q136" s="2"/>
      <c r="R136" s="7">
        <f t="shared" si="29"/>
        <v>0</v>
      </c>
      <c r="S136" s="2"/>
      <c r="T136" s="6">
        <v>0</v>
      </c>
      <c r="U136" s="2"/>
      <c r="V136" s="7">
        <f t="shared" si="30"/>
        <v>0</v>
      </c>
      <c r="W136" s="2"/>
      <c r="X136" s="6">
        <f t="shared" si="31"/>
        <v>0</v>
      </c>
      <c r="Y136" s="2"/>
      <c r="Z136" s="7">
        <f t="shared" si="32"/>
        <v>0</v>
      </c>
    </row>
    <row r="137" spans="1:26" s="29" customFormat="1" outlineLevel="1" collapsed="1" x14ac:dyDescent="0.25">
      <c r="A137" s="27"/>
      <c r="B137" s="14" t="str">
        <f>CONCATENATE("     ","Advertising/Promo                                 ")</f>
        <v xml:space="preserve">     Advertising/Promo                                 </v>
      </c>
      <c r="C137" s="14"/>
      <c r="D137" s="1">
        <f>SUM(OSRRefD22_2x_0)</f>
        <v>648.78</v>
      </c>
      <c r="E137" s="1"/>
      <c r="F137" s="5">
        <f t="shared" ref="F137:F141" si="33">IF(D$12=0,0,D137/D$12)</f>
        <v>5.846304846617174E-3</v>
      </c>
      <c r="G137" s="1"/>
      <c r="H137" s="1">
        <f>SUM(OSRRefH22_2x_0)</f>
        <v>880</v>
      </c>
      <c r="I137" s="1"/>
      <c r="J137" s="5">
        <f t="shared" ref="J137:J141" si="34">IF(H$12=0,0,H137/H$12)</f>
        <v>2.484380866879533E-3</v>
      </c>
      <c r="K137" s="1"/>
      <c r="L137" s="1">
        <f t="shared" ref="L137:L141" si="35">+D137-H137</f>
        <v>-231.22000000000003</v>
      </c>
      <c r="M137" s="1"/>
      <c r="N137" s="5">
        <f t="shared" ref="N137:N141" si="36">IF(H137=0,0,L137/H137)</f>
        <v>-0.26275000000000004</v>
      </c>
      <c r="O137" s="14"/>
      <c r="P137" s="1">
        <f>SUM(OSRRefP22_2x_0)</f>
        <v>14358.53</v>
      </c>
      <c r="Q137" s="1"/>
      <c r="R137" s="5">
        <f t="shared" ref="R137:R141" si="37">IF(P$12=0,0,P137/P$12)</f>
        <v>5.825001821919318E-3</v>
      </c>
      <c r="S137" s="1"/>
      <c r="T137" s="1">
        <f>SUM(OSRRefT22_2x_0)</f>
        <v>5650</v>
      </c>
      <c r="U137" s="1"/>
      <c r="V137" s="5">
        <f t="shared" ref="V137:V141" si="38">IF(T$12=0,0,T137/T$12)</f>
        <v>1.3016627647501429E-3</v>
      </c>
      <c r="W137" s="1"/>
      <c r="X137" s="1">
        <f t="shared" ref="X137:X141" si="39">+P137-T137</f>
        <v>8708.5300000000007</v>
      </c>
      <c r="Y137" s="1"/>
      <c r="Z137" s="5">
        <f t="shared" ref="Z137:Z141" si="40">IF(T137=0,0,X137/T137)</f>
        <v>1.5413327433628319</v>
      </c>
    </row>
    <row r="138" spans="1:26" s="24" customFormat="1" hidden="1" outlineLevel="2" x14ac:dyDescent="0.25">
      <c r="A138" s="28"/>
      <c r="B138" s="11" t="str">
        <f>CONCATENATE("          ", "6362", " - ", "ADVERTISING EXPENSE")</f>
        <v xml:space="preserve">          6362 - ADVERTISING EXPENSE</v>
      </c>
      <c r="C138" s="11"/>
      <c r="D138" s="6">
        <v>648.78</v>
      </c>
      <c r="E138" s="2"/>
      <c r="F138" s="7">
        <f t="shared" si="33"/>
        <v>5.846304846617174E-3</v>
      </c>
      <c r="G138" s="2"/>
      <c r="H138" s="6">
        <v>880</v>
      </c>
      <c r="I138" s="2"/>
      <c r="J138" s="7">
        <f t="shared" si="34"/>
        <v>2.484380866879533E-3</v>
      </c>
      <c r="K138" s="2"/>
      <c r="L138" s="6">
        <f t="shared" si="35"/>
        <v>-231.22000000000003</v>
      </c>
      <c r="M138" s="2"/>
      <c r="N138" s="7">
        <f t="shared" si="36"/>
        <v>-0.26275000000000004</v>
      </c>
      <c r="O138" s="11"/>
      <c r="P138" s="6">
        <v>14358.53</v>
      </c>
      <c r="Q138" s="2"/>
      <c r="R138" s="7">
        <f t="shared" si="37"/>
        <v>5.825001821919318E-3</v>
      </c>
      <c r="S138" s="2"/>
      <c r="T138" s="6">
        <v>5650</v>
      </c>
      <c r="U138" s="2"/>
      <c r="V138" s="7">
        <f t="shared" si="38"/>
        <v>1.3016627647501429E-3</v>
      </c>
      <c r="W138" s="2"/>
      <c r="X138" s="6">
        <f t="shared" si="39"/>
        <v>8708.5300000000007</v>
      </c>
      <c r="Y138" s="2"/>
      <c r="Z138" s="7">
        <f t="shared" si="40"/>
        <v>1.5413327433628319</v>
      </c>
    </row>
    <row r="139" spans="1:26" s="29" customFormat="1" outlineLevel="1" collapsed="1" x14ac:dyDescent="0.25">
      <c r="A139" s="27"/>
      <c r="B139" s="14" t="str">
        <f>CONCATENATE("     ","Bad Debts/Over/Short                              ")</f>
        <v xml:space="preserve">     Bad Debts/Over/Short                              </v>
      </c>
      <c r="C139" s="14"/>
      <c r="D139" s="1">
        <f>SUM(OSRRefD22_3x_0)</f>
        <v>0.74</v>
      </c>
      <c r="E139" s="1"/>
      <c r="F139" s="5">
        <f t="shared" si="33"/>
        <v>6.6683091132536589E-6</v>
      </c>
      <c r="G139" s="1"/>
      <c r="H139" s="1">
        <f>SUM(OSRRefH22_3x_0)</f>
        <v>110</v>
      </c>
      <c r="I139" s="1"/>
      <c r="J139" s="5">
        <f t="shared" si="34"/>
        <v>3.1054760835994163E-4</v>
      </c>
      <c r="K139" s="1"/>
      <c r="L139" s="1">
        <f t="shared" si="35"/>
        <v>-109.26</v>
      </c>
      <c r="M139" s="1"/>
      <c r="N139" s="5">
        <f t="shared" si="36"/>
        <v>-0.99327272727272731</v>
      </c>
      <c r="O139" s="14"/>
      <c r="P139" s="1">
        <f>SUM(OSRRefP22_3x_0)</f>
        <v>51.3</v>
      </c>
      <c r="Q139" s="1"/>
      <c r="R139" s="5">
        <f t="shared" si="37"/>
        <v>2.0811503229401686E-5</v>
      </c>
      <c r="S139" s="1"/>
      <c r="T139" s="1">
        <f>SUM(OSRRefT22_3x_0)</f>
        <v>550</v>
      </c>
      <c r="U139" s="1"/>
      <c r="V139" s="5">
        <f t="shared" si="38"/>
        <v>1.2671053462169534E-4</v>
      </c>
      <c r="W139" s="1"/>
      <c r="X139" s="1">
        <f t="shared" si="39"/>
        <v>-498.7</v>
      </c>
      <c r="Y139" s="1"/>
      <c r="Z139" s="5">
        <f t="shared" si="40"/>
        <v>-0.90672727272727272</v>
      </c>
    </row>
    <row r="140" spans="1:26" s="24" customFormat="1" hidden="1" outlineLevel="2" x14ac:dyDescent="0.25">
      <c r="A140" s="28"/>
      <c r="B140" s="11" t="str">
        <f>CONCATENATE("          ", "6272", " - ", "CASH (OVER/SHORT)")</f>
        <v xml:space="preserve">          6272 - CASH (OVER/SHORT)</v>
      </c>
      <c r="C140" s="11"/>
      <c r="D140" s="6">
        <v>0.74</v>
      </c>
      <c r="E140" s="2"/>
      <c r="F140" s="7">
        <f t="shared" si="33"/>
        <v>6.6683091132536589E-6</v>
      </c>
      <c r="G140" s="2"/>
      <c r="H140" s="6">
        <v>60</v>
      </c>
      <c r="I140" s="2"/>
      <c r="J140" s="7">
        <f t="shared" si="34"/>
        <v>1.6938960455996815E-4</v>
      </c>
      <c r="K140" s="2"/>
      <c r="L140" s="6">
        <f t="shared" si="35"/>
        <v>-59.26</v>
      </c>
      <c r="M140" s="2"/>
      <c r="N140" s="7">
        <f t="shared" si="36"/>
        <v>-0.98766666666666658</v>
      </c>
      <c r="O140" s="11"/>
      <c r="P140" s="6">
        <v>51.3</v>
      </c>
      <c r="Q140" s="2"/>
      <c r="R140" s="7">
        <f t="shared" si="37"/>
        <v>2.0811503229401686E-5</v>
      </c>
      <c r="S140" s="2"/>
      <c r="T140" s="6">
        <v>300</v>
      </c>
      <c r="U140" s="2"/>
      <c r="V140" s="7">
        <f t="shared" si="38"/>
        <v>6.9114837066379267E-5</v>
      </c>
      <c r="W140" s="2"/>
      <c r="X140" s="6">
        <f t="shared" si="39"/>
        <v>-248.7</v>
      </c>
      <c r="Y140" s="2"/>
      <c r="Z140" s="7">
        <f t="shared" si="40"/>
        <v>-0.82899999999999996</v>
      </c>
    </row>
    <row r="141" spans="1:26" s="24" customFormat="1" hidden="1" outlineLevel="2" x14ac:dyDescent="0.25">
      <c r="A141" s="28"/>
      <c r="B141" s="11" t="str">
        <f>CONCATENATE("          ", "6342", " - ", "BAD DEBT")</f>
        <v xml:space="preserve">          6342 - BAD DEBT</v>
      </c>
      <c r="C141" s="11"/>
      <c r="D141" s="6"/>
      <c r="E141" s="2"/>
      <c r="F141" s="7">
        <f t="shared" si="33"/>
        <v>0</v>
      </c>
      <c r="G141" s="2"/>
      <c r="H141" s="6">
        <v>50</v>
      </c>
      <c r="I141" s="2"/>
      <c r="J141" s="7">
        <f t="shared" si="34"/>
        <v>1.4115800379997347E-4</v>
      </c>
      <c r="K141" s="2"/>
      <c r="L141" s="6">
        <f t="shared" si="35"/>
        <v>-50</v>
      </c>
      <c r="M141" s="2"/>
      <c r="N141" s="7">
        <f t="shared" si="36"/>
        <v>-1</v>
      </c>
      <c r="O141" s="11"/>
      <c r="P141" s="6"/>
      <c r="Q141" s="2"/>
      <c r="R141" s="7">
        <f t="shared" si="37"/>
        <v>0</v>
      </c>
      <c r="S141" s="2"/>
      <c r="T141" s="6">
        <v>250</v>
      </c>
      <c r="U141" s="2"/>
      <c r="V141" s="7">
        <f t="shared" si="38"/>
        <v>5.7595697555316061E-5</v>
      </c>
      <c r="W141" s="2"/>
      <c r="X141" s="6">
        <f t="shared" si="39"/>
        <v>-250</v>
      </c>
      <c r="Y141" s="2"/>
      <c r="Z141" s="7">
        <f t="shared" si="40"/>
        <v>-1</v>
      </c>
    </row>
    <row r="142" spans="1:26" s="29" customFormat="1" outlineLevel="1" collapsed="1" x14ac:dyDescent="0.25">
      <c r="A142" s="27"/>
      <c r="B142" s="14" t="str">
        <f>CONCATENATE("     ","Bank/card Fees                                    ")</f>
        <v xml:space="preserve">     Bank/card Fees                                    </v>
      </c>
      <c r="C142" s="14"/>
      <c r="D142" s="1">
        <f>SUM(OSRRefD22_4x_0)</f>
        <v>2442.63</v>
      </c>
      <c r="E142" s="1"/>
      <c r="F142" s="5">
        <f t="shared" ref="F142:F146" si="41">IF(D$12=0,0,D142/D$12)</f>
        <v>2.2011097147711871E-2</v>
      </c>
      <c r="G142" s="1"/>
      <c r="H142" s="1">
        <f>SUM(OSRRefH22_4x_0)</f>
        <v>9234</v>
      </c>
      <c r="I142" s="1"/>
      <c r="J142" s="5">
        <f t="shared" ref="J142:J146" si="42">IF(H$12=0,0,H142/H$12)</f>
        <v>2.60690601417791E-2</v>
      </c>
      <c r="K142" s="1"/>
      <c r="L142" s="1">
        <f t="shared" ref="L142:L146" si="43">+D142-H142</f>
        <v>-6791.37</v>
      </c>
      <c r="M142" s="1"/>
      <c r="N142" s="5">
        <f t="shared" ref="N142:N146" si="44">IF(H142=0,0,L142/H142)</f>
        <v>-0.73547433398310591</v>
      </c>
      <c r="O142" s="14"/>
      <c r="P142" s="1">
        <f>SUM(OSRRefP22_4x_0)</f>
        <v>41582.380000000005</v>
      </c>
      <c r="Q142" s="1"/>
      <c r="R142" s="5">
        <f t="shared" ref="R142:R146" si="45">IF(P$12=0,0,P142/P$12)</f>
        <v>1.6869236562499185E-2</v>
      </c>
      <c r="S142" s="1"/>
      <c r="T142" s="1">
        <f>SUM(OSRRefT22_4x_0)</f>
        <v>89643</v>
      </c>
      <c r="U142" s="1"/>
      <c r="V142" s="5">
        <f t="shared" ref="V142:V146" si="46">IF(T$12=0,0,T142/T$12)</f>
        <v>2.065220446380479E-2</v>
      </c>
      <c r="W142" s="1"/>
      <c r="X142" s="1">
        <f t="shared" ref="X142:X146" si="47">+P142-T142</f>
        <v>-48060.619999999995</v>
      </c>
      <c r="Y142" s="1"/>
      <c r="Z142" s="5">
        <f t="shared" ref="Z142:Z146" si="48">IF(T142=0,0,X142/T142)</f>
        <v>-0.53613355197840318</v>
      </c>
    </row>
    <row r="143" spans="1:26" s="24" customFormat="1" hidden="1" outlineLevel="2" x14ac:dyDescent="0.25">
      <c r="A143" s="28"/>
      <c r="B143" s="11" t="str">
        <f>CONCATENATE("          ", "6381", " - ", "BANK/CREDIT CARD FEES")</f>
        <v xml:space="preserve">          6381 - BANK/CREDIT CARD FEES</v>
      </c>
      <c r="C143" s="11"/>
      <c r="D143" s="6">
        <v>2442.63</v>
      </c>
      <c r="E143" s="2"/>
      <c r="F143" s="7">
        <f t="shared" si="41"/>
        <v>2.2011097147711871E-2</v>
      </c>
      <c r="G143" s="2"/>
      <c r="H143" s="6">
        <v>9234</v>
      </c>
      <c r="I143" s="2"/>
      <c r="J143" s="7">
        <f t="shared" si="42"/>
        <v>2.60690601417791E-2</v>
      </c>
      <c r="K143" s="2"/>
      <c r="L143" s="6">
        <f t="shared" si="43"/>
        <v>-6791.37</v>
      </c>
      <c r="M143" s="2"/>
      <c r="N143" s="7">
        <f t="shared" si="44"/>
        <v>-0.73547433398310591</v>
      </c>
      <c r="O143" s="11"/>
      <c r="P143" s="6">
        <v>41582.380000000005</v>
      </c>
      <c r="Q143" s="2"/>
      <c r="R143" s="7">
        <f t="shared" si="45"/>
        <v>1.6869236562499185E-2</v>
      </c>
      <c r="S143" s="2"/>
      <c r="T143" s="6">
        <v>89643</v>
      </c>
      <c r="U143" s="2"/>
      <c r="V143" s="7">
        <f t="shared" si="46"/>
        <v>2.065220446380479E-2</v>
      </c>
      <c r="W143" s="2"/>
      <c r="X143" s="6">
        <f t="shared" si="47"/>
        <v>-48060.619999999995</v>
      </c>
      <c r="Y143" s="2"/>
      <c r="Z143" s="7">
        <f t="shared" si="48"/>
        <v>-0.53613355197840318</v>
      </c>
    </row>
    <row r="144" spans="1:26" s="29" customFormat="1" outlineLevel="1" collapsed="1" x14ac:dyDescent="0.25">
      <c r="A144" s="27"/>
      <c r="B144" s="14" t="str">
        <f>CONCATENATE("     ","Depreciation                                      ")</f>
        <v xml:space="preserve">     Depreciation                                      </v>
      </c>
      <c r="C144" s="14"/>
      <c r="D144" s="1">
        <f>SUM(OSRRefD22_5x_0)</f>
        <v>30735.85</v>
      </c>
      <c r="E144" s="1"/>
      <c r="F144" s="5">
        <f t="shared" si="41"/>
        <v>0.27696776845756416</v>
      </c>
      <c r="G144" s="1"/>
      <c r="H144" s="1">
        <f>SUM(OSRRefH22_5x_0)</f>
        <v>30294</v>
      </c>
      <c r="I144" s="1"/>
      <c r="J144" s="5">
        <f t="shared" si="42"/>
        <v>8.5524811342327922E-2</v>
      </c>
      <c r="K144" s="1"/>
      <c r="L144" s="1">
        <f t="shared" si="43"/>
        <v>441.84999999999854</v>
      </c>
      <c r="M144" s="1"/>
      <c r="N144" s="5">
        <f t="shared" si="44"/>
        <v>1.4585396448141498E-2</v>
      </c>
      <c r="O144" s="14"/>
      <c r="P144" s="1">
        <f>SUM(OSRRefP22_5x_0)</f>
        <v>153974.74</v>
      </c>
      <c r="Q144" s="1"/>
      <c r="R144" s="5">
        <f t="shared" si="45"/>
        <v>6.2464830385112767E-2</v>
      </c>
      <c r="S144" s="1"/>
      <c r="T144" s="1">
        <f>SUM(OSRRefT22_5x_0)</f>
        <v>152478</v>
      </c>
      <c r="U144" s="1"/>
      <c r="V144" s="5">
        <f t="shared" si="46"/>
        <v>3.5128307087357931E-2</v>
      </c>
      <c r="W144" s="1"/>
      <c r="X144" s="1">
        <f t="shared" si="47"/>
        <v>1496.7399999999907</v>
      </c>
      <c r="Y144" s="1"/>
      <c r="Z144" s="5">
        <f t="shared" si="48"/>
        <v>9.8161046183711138E-3</v>
      </c>
    </row>
    <row r="145" spans="1:26" s="24" customFormat="1" hidden="1" outlineLevel="2" x14ac:dyDescent="0.25">
      <c r="A145" s="28"/>
      <c r="B145" s="11" t="str">
        <f>CONCATENATE("          ", "6321", " - ", "BUILDING DEPRECIATION")</f>
        <v xml:space="preserve">          6321 - BUILDING DEPRECIATION</v>
      </c>
      <c r="C145" s="11"/>
      <c r="D145" s="6">
        <v>16396.52</v>
      </c>
      <c r="E145" s="2"/>
      <c r="F145" s="7">
        <f t="shared" si="41"/>
        <v>0.14775278884006202</v>
      </c>
      <c r="G145" s="2"/>
      <c r="H145" s="6"/>
      <c r="I145" s="2"/>
      <c r="J145" s="7">
        <f t="shared" si="42"/>
        <v>0</v>
      </c>
      <c r="K145" s="2"/>
      <c r="L145" s="6">
        <f t="shared" si="43"/>
        <v>16396.52</v>
      </c>
      <c r="M145" s="2"/>
      <c r="N145" s="7">
        <f t="shared" si="44"/>
        <v>0</v>
      </c>
      <c r="O145" s="11"/>
      <c r="P145" s="6">
        <v>81982.599999999991</v>
      </c>
      <c r="Q145" s="2"/>
      <c r="R145" s="7">
        <f t="shared" si="45"/>
        <v>3.3258891708669525E-2</v>
      </c>
      <c r="S145" s="2"/>
      <c r="T145" s="6"/>
      <c r="U145" s="2"/>
      <c r="V145" s="7">
        <f t="shared" si="46"/>
        <v>0</v>
      </c>
      <c r="W145" s="2"/>
      <c r="X145" s="6">
        <f t="shared" si="47"/>
        <v>81982.599999999991</v>
      </c>
      <c r="Y145" s="2"/>
      <c r="Z145" s="7">
        <f t="shared" si="48"/>
        <v>0</v>
      </c>
    </row>
    <row r="146" spans="1:26" s="24" customFormat="1" hidden="1" outlineLevel="2" x14ac:dyDescent="0.25">
      <c r="A146" s="28"/>
      <c r="B146" s="11" t="str">
        <f>CONCATENATE("          ", "6322", " - ", "EQUIPMENT DEPRECIATION EXPENSE")</f>
        <v xml:space="preserve">          6322 - EQUIPMENT DEPRECIATION EXPENSE</v>
      </c>
      <c r="C146" s="11"/>
      <c r="D146" s="6">
        <v>14339.33</v>
      </c>
      <c r="E146" s="2"/>
      <c r="F146" s="7">
        <f t="shared" si="41"/>
        <v>0.12921497961750214</v>
      </c>
      <c r="G146" s="2"/>
      <c r="H146" s="6">
        <v>30294</v>
      </c>
      <c r="I146" s="2"/>
      <c r="J146" s="7">
        <f t="shared" si="42"/>
        <v>8.5524811342327922E-2</v>
      </c>
      <c r="K146" s="2"/>
      <c r="L146" s="6">
        <f t="shared" si="43"/>
        <v>-15954.67</v>
      </c>
      <c r="M146" s="2"/>
      <c r="N146" s="7">
        <f t="shared" si="44"/>
        <v>-0.52666105499438831</v>
      </c>
      <c r="O146" s="11"/>
      <c r="P146" s="6">
        <v>71992.14</v>
      </c>
      <c r="Q146" s="2"/>
      <c r="R146" s="7">
        <f t="shared" si="45"/>
        <v>2.9205938676443242E-2</v>
      </c>
      <c r="S146" s="2"/>
      <c r="T146" s="6">
        <v>152478</v>
      </c>
      <c r="U146" s="2"/>
      <c r="V146" s="7">
        <f t="shared" si="46"/>
        <v>3.5128307087357931E-2</v>
      </c>
      <c r="W146" s="2"/>
      <c r="X146" s="6">
        <f t="shared" si="47"/>
        <v>-80485.86</v>
      </c>
      <c r="Y146" s="2"/>
      <c r="Z146" s="7">
        <f t="shared" si="48"/>
        <v>-0.52785228032896547</v>
      </c>
    </row>
    <row r="147" spans="1:26" s="29" customFormat="1" outlineLevel="1" collapsed="1" x14ac:dyDescent="0.25">
      <c r="A147" s="27"/>
      <c r="B147" s="14" t="str">
        <f>CONCATENATE("     ","Discounts and Markdowns                           ")</f>
        <v xml:space="preserve">     Discounts and Markdowns                           </v>
      </c>
      <c r="C147" s="14"/>
      <c r="D147" s="1">
        <f>SUM(OSRRefD22_6x_0)</f>
        <v>418.85</v>
      </c>
      <c r="E147" s="1"/>
      <c r="F147" s="5">
        <f t="shared" ref="F147:F149" si="49">IF(D$12=0,0,D147/D$12)</f>
        <v>3.7743530703868854E-3</v>
      </c>
      <c r="G147" s="1"/>
      <c r="H147" s="1">
        <f>SUM(OSRRefH22_6x_0)</f>
        <v>26548</v>
      </c>
      <c r="I147" s="1"/>
      <c r="J147" s="5">
        <f t="shared" ref="J147:J149" si="50">IF(H$12=0,0,H147/H$12)</f>
        <v>7.4949253697633916E-2</v>
      </c>
      <c r="K147" s="1"/>
      <c r="L147" s="1">
        <f t="shared" ref="L147:L149" si="51">+D147-H147</f>
        <v>-26129.15</v>
      </c>
      <c r="M147" s="1"/>
      <c r="N147" s="5">
        <f t="shared" ref="N147:N149" si="52">IF(H147=0,0,L147/H147)</f>
        <v>-0.98422291698056352</v>
      </c>
      <c r="O147" s="14"/>
      <c r="P147" s="1">
        <f>SUM(OSRRefP22_6x_0)</f>
        <v>0</v>
      </c>
      <c r="Q147" s="1"/>
      <c r="R147" s="5">
        <f t="shared" ref="R147:R149" si="53">IF(P$12=0,0,P147/P$12)</f>
        <v>0</v>
      </c>
      <c r="S147" s="1"/>
      <c r="T147" s="1">
        <f>SUM(OSRRefT22_6x_0)</f>
        <v>135126</v>
      </c>
      <c r="U147" s="1"/>
      <c r="V147" s="5">
        <f t="shared" ref="V147:V149" si="54">IF(T$12=0,0,T147/T$12)</f>
        <v>3.1130704911438552E-2</v>
      </c>
      <c r="W147" s="1"/>
      <c r="X147" s="1">
        <f t="shared" ref="X147:X149" si="55">+P147-T147</f>
        <v>-135126</v>
      </c>
      <c r="Y147" s="1"/>
      <c r="Z147" s="5">
        <f t="shared" ref="Z147:Z149" si="56">IF(T147=0,0,X147/T147)</f>
        <v>-1</v>
      </c>
    </row>
    <row r="148" spans="1:26" s="24" customFormat="1" hidden="1" outlineLevel="2" x14ac:dyDescent="0.25">
      <c r="A148" s="28"/>
      <c r="B148" s="11" t="str">
        <f>CONCATENATE("          ", "6382", " - ", "DISCOUNTS/MARK DOWNS")</f>
        <v xml:space="preserve">          6382 - DISCOUNTS/MARK DOWNS</v>
      </c>
      <c r="C148" s="11"/>
      <c r="D148" s="6"/>
      <c r="E148" s="2"/>
      <c r="F148" s="7">
        <f t="shared" si="49"/>
        <v>0</v>
      </c>
      <c r="G148" s="2"/>
      <c r="H148" s="6">
        <v>26548</v>
      </c>
      <c r="I148" s="2"/>
      <c r="J148" s="7">
        <f t="shared" si="50"/>
        <v>7.4949253697633916E-2</v>
      </c>
      <c r="K148" s="2"/>
      <c r="L148" s="6">
        <f t="shared" si="51"/>
        <v>-26548</v>
      </c>
      <c r="M148" s="2"/>
      <c r="N148" s="7">
        <f t="shared" si="52"/>
        <v>-1</v>
      </c>
      <c r="O148" s="11"/>
      <c r="P148" s="6">
        <v>0</v>
      </c>
      <c r="Q148" s="2"/>
      <c r="R148" s="7">
        <f t="shared" si="53"/>
        <v>0</v>
      </c>
      <c r="S148" s="2"/>
      <c r="T148" s="6">
        <v>135126</v>
      </c>
      <c r="U148" s="2"/>
      <c r="V148" s="7">
        <f t="shared" si="54"/>
        <v>3.1130704911438552E-2</v>
      </c>
      <c r="W148" s="2"/>
      <c r="X148" s="6">
        <f t="shared" si="55"/>
        <v>-135126</v>
      </c>
      <c r="Y148" s="2"/>
      <c r="Z148" s="7">
        <f t="shared" si="56"/>
        <v>-1</v>
      </c>
    </row>
    <row r="149" spans="1:26" s="24" customFormat="1" hidden="1" outlineLevel="2" x14ac:dyDescent="0.25">
      <c r="A149" s="28"/>
      <c r="B149" s="11" t="str">
        <f>CONCATENATE("          ", "9175", " - ", "EARNED DISCOUNTS")</f>
        <v xml:space="preserve">          9175 - EARNED DISCOUNTS</v>
      </c>
      <c r="C149" s="11"/>
      <c r="D149" s="6">
        <v>418.85</v>
      </c>
      <c r="E149" s="2"/>
      <c r="F149" s="7">
        <f t="shared" si="49"/>
        <v>3.7743530703868854E-3</v>
      </c>
      <c r="G149" s="2"/>
      <c r="H149" s="6"/>
      <c r="I149" s="2"/>
      <c r="J149" s="7">
        <f t="shared" si="50"/>
        <v>0</v>
      </c>
      <c r="K149" s="2"/>
      <c r="L149" s="6">
        <f t="shared" si="51"/>
        <v>418.85</v>
      </c>
      <c r="M149" s="2"/>
      <c r="N149" s="7">
        <f t="shared" si="52"/>
        <v>0</v>
      </c>
      <c r="O149" s="11"/>
      <c r="P149" s="6">
        <v>0</v>
      </c>
      <c r="Q149" s="2"/>
      <c r="R149" s="7">
        <f t="shared" si="53"/>
        <v>0</v>
      </c>
      <c r="S149" s="2"/>
      <c r="T149" s="6"/>
      <c r="U149" s="2"/>
      <c r="V149" s="7">
        <f t="shared" si="54"/>
        <v>0</v>
      </c>
      <c r="W149" s="2"/>
      <c r="X149" s="6">
        <f t="shared" si="55"/>
        <v>0</v>
      </c>
      <c r="Y149" s="2"/>
      <c r="Z149" s="7">
        <f t="shared" si="56"/>
        <v>0</v>
      </c>
    </row>
    <row r="150" spans="1:26" s="29" customFormat="1" outlineLevel="1" collapsed="1" x14ac:dyDescent="0.25">
      <c r="A150" s="27"/>
      <c r="B150" s="14" t="str">
        <f>CONCATENATE("     ","Donations                                         ")</f>
        <v xml:space="preserve">     Donations                                         </v>
      </c>
      <c r="C150" s="14"/>
      <c r="D150" s="1">
        <f>SUM(OSRRefD22_7x_0)</f>
        <v>0</v>
      </c>
      <c r="E150" s="1"/>
      <c r="F150" s="5">
        <f t="shared" ref="F150:F152" si="57">IF(D$12=0,0,D150/D$12)</f>
        <v>0</v>
      </c>
      <c r="G150" s="1"/>
      <c r="H150" s="1">
        <f>SUM(OSRRefH22_7x_0)</f>
        <v>1000</v>
      </c>
      <c r="I150" s="1"/>
      <c r="J150" s="5">
        <f t="shared" ref="J150:J152" si="58">IF(H$12=0,0,H150/H$12)</f>
        <v>2.8231600759994692E-3</v>
      </c>
      <c r="K150" s="1"/>
      <c r="L150" s="1">
        <f t="shared" ref="L150:L152" si="59">+D150-H150</f>
        <v>-1000</v>
      </c>
      <c r="M150" s="1"/>
      <c r="N150" s="5">
        <f t="shared" ref="N150:N152" si="60">IF(H150=0,0,L150/H150)</f>
        <v>-1</v>
      </c>
      <c r="O150" s="14"/>
      <c r="P150" s="1">
        <f>SUM(OSRRefP22_7x_0)</f>
        <v>0</v>
      </c>
      <c r="Q150" s="1"/>
      <c r="R150" s="5">
        <f t="shared" ref="R150:R152" si="61">IF(P$12=0,0,P150/P$12)</f>
        <v>0</v>
      </c>
      <c r="S150" s="1"/>
      <c r="T150" s="1">
        <f>SUM(OSRRefT22_7x_0)</f>
        <v>5000</v>
      </c>
      <c r="U150" s="1"/>
      <c r="V150" s="5">
        <f t="shared" ref="V150:V152" si="62">IF(T$12=0,0,T150/T$12)</f>
        <v>1.1519139511063212E-3</v>
      </c>
      <c r="W150" s="1"/>
      <c r="X150" s="1">
        <f t="shared" ref="X150:X152" si="63">+P150-T150</f>
        <v>-5000</v>
      </c>
      <c r="Y150" s="1"/>
      <c r="Z150" s="5">
        <f t="shared" ref="Z150:Z152" si="64">IF(T150=0,0,X150/T150)</f>
        <v>-1</v>
      </c>
    </row>
    <row r="151" spans="1:26" s="24" customFormat="1" hidden="1" outlineLevel="2" x14ac:dyDescent="0.25">
      <c r="A151" s="28"/>
      <c r="B151" s="11" t="str">
        <f>CONCATENATE("          ", "6395", " - ", "DONATION-OFF CAMPUS")</f>
        <v xml:space="preserve">          6395 - DONATION-OFF CAMPUS</v>
      </c>
      <c r="C151" s="11"/>
      <c r="D151" s="6"/>
      <c r="E151" s="2"/>
      <c r="F151" s="7">
        <f t="shared" si="57"/>
        <v>0</v>
      </c>
      <c r="G151" s="2"/>
      <c r="H151" s="6"/>
      <c r="I151" s="2"/>
      <c r="J151" s="7">
        <f t="shared" si="58"/>
        <v>0</v>
      </c>
      <c r="K151" s="2"/>
      <c r="L151" s="6">
        <f t="shared" si="59"/>
        <v>0</v>
      </c>
      <c r="M151" s="2"/>
      <c r="N151" s="7">
        <f t="shared" si="60"/>
        <v>0</v>
      </c>
      <c r="O151" s="11"/>
      <c r="P151" s="6"/>
      <c r="Q151" s="2"/>
      <c r="R151" s="7">
        <f t="shared" si="61"/>
        <v>0</v>
      </c>
      <c r="S151" s="2"/>
      <c r="T151" s="6">
        <v>0</v>
      </c>
      <c r="U151" s="2"/>
      <c r="V151" s="7">
        <f t="shared" si="62"/>
        <v>0</v>
      </c>
      <c r="W151" s="2"/>
      <c r="X151" s="6">
        <f t="shared" si="63"/>
        <v>0</v>
      </c>
      <c r="Y151" s="2"/>
      <c r="Z151" s="7">
        <f t="shared" si="64"/>
        <v>0</v>
      </c>
    </row>
    <row r="152" spans="1:26" s="24" customFormat="1" hidden="1" outlineLevel="2" x14ac:dyDescent="0.25">
      <c r="A152" s="28"/>
      <c r="B152" s="11" t="str">
        <f>CONCATENATE("          ", "6399", " - ", "DONATION-ON CAMPUS")</f>
        <v xml:space="preserve">          6399 - DONATION-ON CAMPUS</v>
      </c>
      <c r="C152" s="11"/>
      <c r="D152" s="6"/>
      <c r="E152" s="2"/>
      <c r="F152" s="7">
        <f t="shared" si="57"/>
        <v>0</v>
      </c>
      <c r="G152" s="2"/>
      <c r="H152" s="6">
        <v>1000</v>
      </c>
      <c r="I152" s="2"/>
      <c r="J152" s="7">
        <f t="shared" si="58"/>
        <v>2.8231600759994692E-3</v>
      </c>
      <c r="K152" s="2"/>
      <c r="L152" s="6">
        <f t="shared" si="59"/>
        <v>-1000</v>
      </c>
      <c r="M152" s="2"/>
      <c r="N152" s="7">
        <f t="shared" si="60"/>
        <v>-1</v>
      </c>
      <c r="O152" s="11"/>
      <c r="P152" s="6"/>
      <c r="Q152" s="2"/>
      <c r="R152" s="7">
        <f t="shared" si="61"/>
        <v>0</v>
      </c>
      <c r="S152" s="2"/>
      <c r="T152" s="6">
        <v>5000</v>
      </c>
      <c r="U152" s="2"/>
      <c r="V152" s="7">
        <f t="shared" si="62"/>
        <v>1.1519139511063212E-3</v>
      </c>
      <c r="W152" s="2"/>
      <c r="X152" s="6">
        <f t="shared" si="63"/>
        <v>-5000</v>
      </c>
      <c r="Y152" s="2"/>
      <c r="Z152" s="7">
        <f t="shared" si="64"/>
        <v>-1</v>
      </c>
    </row>
    <row r="153" spans="1:26" s="29" customFormat="1" outlineLevel="1" collapsed="1" x14ac:dyDescent="0.25">
      <c r="A153" s="27"/>
      <c r="B153" s="14" t="str">
        <f>CONCATENATE("     ","Employees' Appreciation                           ")</f>
        <v xml:space="preserve">     Employees' Appreciation                           </v>
      </c>
      <c r="C153" s="14"/>
      <c r="D153" s="1">
        <f>SUM(OSRRefD22_8x_0)</f>
        <v>0</v>
      </c>
      <c r="E153" s="1"/>
      <c r="F153" s="5">
        <f t="shared" ref="F153:F159" si="65">IF(D$12=0,0,D153/D$12)</f>
        <v>0</v>
      </c>
      <c r="G153" s="1"/>
      <c r="H153" s="1">
        <f>SUM(OSRRefH22_8x_0)</f>
        <v>400</v>
      </c>
      <c r="I153" s="1"/>
      <c r="J153" s="5">
        <f t="shared" ref="J153:J159" si="66">IF(H$12=0,0,H153/H$12)</f>
        <v>1.1292640303997878E-3</v>
      </c>
      <c r="K153" s="1"/>
      <c r="L153" s="1">
        <f t="shared" ref="L153:L159" si="67">+D153-H153</f>
        <v>-400</v>
      </c>
      <c r="M153" s="1"/>
      <c r="N153" s="5">
        <f t="shared" ref="N153:N159" si="68">IF(H153=0,0,L153/H153)</f>
        <v>-1</v>
      </c>
      <c r="O153" s="14"/>
      <c r="P153" s="1">
        <f>SUM(OSRRefP22_8x_0)</f>
        <v>107.7</v>
      </c>
      <c r="Q153" s="1"/>
      <c r="R153" s="5">
        <f t="shared" ref="R153:R159" si="69">IF(P$12=0,0,P153/P$12)</f>
        <v>4.3691986312018751E-5</v>
      </c>
      <c r="S153" s="1"/>
      <c r="T153" s="1">
        <f>SUM(OSRRefT22_8x_0)</f>
        <v>2050</v>
      </c>
      <c r="U153" s="1"/>
      <c r="V153" s="5">
        <f t="shared" ref="V153:V159" si="70">IF(T$12=0,0,T153/T$12)</f>
        <v>4.722847199535917E-4</v>
      </c>
      <c r="W153" s="1"/>
      <c r="X153" s="1">
        <f t="shared" ref="X153:X159" si="71">+P153-T153</f>
        <v>-1942.3</v>
      </c>
      <c r="Y153" s="1"/>
      <c r="Z153" s="5">
        <f t="shared" ref="Z153:Z159" si="72">IF(T153=0,0,X153/T153)</f>
        <v>-0.94746341463414629</v>
      </c>
    </row>
    <row r="154" spans="1:26" s="24" customFormat="1" hidden="1" outlineLevel="2" x14ac:dyDescent="0.25">
      <c r="A154" s="28"/>
      <c r="B154" s="11" t="str">
        <f>CONCATENATE("          ", "6277", " - ", "EMPLOYEE APPRECIATION")</f>
        <v xml:space="preserve">          6277 - EMPLOYEE APPRECIATION</v>
      </c>
      <c r="C154" s="11"/>
      <c r="D154" s="6"/>
      <c r="E154" s="2"/>
      <c r="F154" s="7">
        <f t="shared" si="65"/>
        <v>0</v>
      </c>
      <c r="G154" s="2"/>
      <c r="H154" s="6">
        <v>400</v>
      </c>
      <c r="I154" s="2"/>
      <c r="J154" s="7">
        <f t="shared" si="66"/>
        <v>1.1292640303997878E-3</v>
      </c>
      <c r="K154" s="2"/>
      <c r="L154" s="6">
        <f t="shared" si="67"/>
        <v>-400</v>
      </c>
      <c r="M154" s="2"/>
      <c r="N154" s="7">
        <f t="shared" si="68"/>
        <v>-1</v>
      </c>
      <c r="O154" s="11"/>
      <c r="P154" s="6">
        <v>107.7</v>
      </c>
      <c r="Q154" s="2"/>
      <c r="R154" s="7">
        <f t="shared" si="69"/>
        <v>4.3691986312018751E-5</v>
      </c>
      <c r="S154" s="2"/>
      <c r="T154" s="6">
        <v>2050</v>
      </c>
      <c r="U154" s="2"/>
      <c r="V154" s="7">
        <f t="shared" si="70"/>
        <v>4.722847199535917E-4</v>
      </c>
      <c r="W154" s="2"/>
      <c r="X154" s="6">
        <f t="shared" si="71"/>
        <v>-1942.3</v>
      </c>
      <c r="Y154" s="2"/>
      <c r="Z154" s="7">
        <f t="shared" si="72"/>
        <v>-0.94746341463414629</v>
      </c>
    </row>
    <row r="155" spans="1:26" s="29" customFormat="1" outlineLevel="1" collapsed="1" x14ac:dyDescent="0.25">
      <c r="A155" s="27"/>
      <c r="B155" s="14" t="str">
        <f>CONCATENATE("     ","Equipment Rental                                  ")</f>
        <v xml:space="preserve">     Equipment Rental                                  </v>
      </c>
      <c r="C155" s="14"/>
      <c r="D155" s="1">
        <f>SUM(OSRRefD22_9x_0)</f>
        <v>1712.05</v>
      </c>
      <c r="E155" s="1"/>
      <c r="F155" s="5">
        <f t="shared" si="65"/>
        <v>1.5427673807224224E-2</v>
      </c>
      <c r="G155" s="1"/>
      <c r="H155" s="1">
        <f>SUM(OSRRefH22_9x_0)</f>
        <v>3006</v>
      </c>
      <c r="I155" s="1"/>
      <c r="J155" s="5">
        <f t="shared" si="66"/>
        <v>8.4864191884544051E-3</v>
      </c>
      <c r="K155" s="1"/>
      <c r="L155" s="1">
        <f t="shared" si="67"/>
        <v>-1293.95</v>
      </c>
      <c r="M155" s="1"/>
      <c r="N155" s="5">
        <f t="shared" si="68"/>
        <v>-0.43045575515635398</v>
      </c>
      <c r="O155" s="14"/>
      <c r="P155" s="1">
        <f>SUM(OSRRefP22_9x_0)</f>
        <v>7679.84</v>
      </c>
      <c r="Q155" s="1"/>
      <c r="R155" s="5">
        <f t="shared" si="69"/>
        <v>3.1155753403759893E-3</v>
      </c>
      <c r="S155" s="1"/>
      <c r="T155" s="1">
        <f>SUM(OSRRefT22_9x_0)</f>
        <v>15030</v>
      </c>
      <c r="U155" s="1"/>
      <c r="V155" s="5">
        <f t="shared" si="70"/>
        <v>3.4626533370256014E-3</v>
      </c>
      <c r="W155" s="1"/>
      <c r="X155" s="1">
        <f t="shared" si="71"/>
        <v>-7350.16</v>
      </c>
      <c r="Y155" s="1"/>
      <c r="Z155" s="5">
        <f t="shared" si="72"/>
        <v>-0.48903260146373917</v>
      </c>
    </row>
    <row r="156" spans="1:26" s="24" customFormat="1" hidden="1" outlineLevel="2" x14ac:dyDescent="0.25">
      <c r="A156" s="28"/>
      <c r="B156" s="11" t="str">
        <f>CONCATENATE("          ", "6351", " - ", "EQUIPMENT RENTAL")</f>
        <v xml:space="preserve">          6351 - EQUIPMENT RENTAL</v>
      </c>
      <c r="C156" s="11"/>
      <c r="D156" s="6">
        <v>1712.05</v>
      </c>
      <c r="E156" s="2"/>
      <c r="F156" s="7">
        <f t="shared" si="65"/>
        <v>1.5427673807224224E-2</v>
      </c>
      <c r="G156" s="2"/>
      <c r="H156" s="6">
        <v>3006</v>
      </c>
      <c r="I156" s="2"/>
      <c r="J156" s="7">
        <f t="shared" si="66"/>
        <v>8.4864191884544051E-3</v>
      </c>
      <c r="K156" s="2"/>
      <c r="L156" s="6">
        <f t="shared" si="67"/>
        <v>-1293.95</v>
      </c>
      <c r="M156" s="2"/>
      <c r="N156" s="7">
        <f t="shared" si="68"/>
        <v>-0.43045575515635398</v>
      </c>
      <c r="O156" s="11"/>
      <c r="P156" s="6">
        <v>7679.84</v>
      </c>
      <c r="Q156" s="2"/>
      <c r="R156" s="7">
        <f t="shared" si="69"/>
        <v>3.1155753403759893E-3</v>
      </c>
      <c r="S156" s="2"/>
      <c r="T156" s="6">
        <v>15030</v>
      </c>
      <c r="U156" s="2"/>
      <c r="V156" s="7">
        <f t="shared" si="70"/>
        <v>3.4626533370256014E-3</v>
      </c>
      <c r="W156" s="2"/>
      <c r="X156" s="6">
        <f t="shared" si="71"/>
        <v>-7350.16</v>
      </c>
      <c r="Y156" s="2"/>
      <c r="Z156" s="7">
        <f t="shared" si="72"/>
        <v>-0.48903260146373917</v>
      </c>
    </row>
    <row r="157" spans="1:26" s="29" customFormat="1" outlineLevel="1" collapsed="1" x14ac:dyDescent="0.25">
      <c r="A157" s="27"/>
      <c r="B157" s="14" t="str">
        <f>CONCATENATE("     ","Freight out/Postage                               ")</f>
        <v xml:space="preserve">     Freight out/Postage                               </v>
      </c>
      <c r="C157" s="14"/>
      <c r="D157" s="1">
        <f>SUM(OSRRefD22_10x_0)</f>
        <v>12488.57</v>
      </c>
      <c r="E157" s="1"/>
      <c r="F157" s="5">
        <f t="shared" si="65"/>
        <v>0.11253735830068412</v>
      </c>
      <c r="G157" s="1"/>
      <c r="H157" s="1">
        <f>SUM(OSRRefH22_10x_0)</f>
        <v>8621</v>
      </c>
      <c r="I157" s="1"/>
      <c r="J157" s="5">
        <f t="shared" si="66"/>
        <v>2.4338463015191426E-2</v>
      </c>
      <c r="K157" s="1"/>
      <c r="L157" s="1">
        <f t="shared" si="67"/>
        <v>3867.5699999999997</v>
      </c>
      <c r="M157" s="1"/>
      <c r="N157" s="5">
        <f t="shared" si="68"/>
        <v>0.44862196960909406</v>
      </c>
      <c r="O157" s="14"/>
      <c r="P157" s="1">
        <f>SUM(OSRRefP22_10x_0)</f>
        <v>-19354.78</v>
      </c>
      <c r="Q157" s="1"/>
      <c r="R157" s="5">
        <f t="shared" si="69"/>
        <v>-7.851892134003103E-3</v>
      </c>
      <c r="S157" s="1"/>
      <c r="T157" s="1">
        <f>SUM(OSRRefT22_10x_0)</f>
        <v>43497</v>
      </c>
      <c r="U157" s="1"/>
      <c r="V157" s="5">
        <f t="shared" si="70"/>
        <v>1.002096022625433E-2</v>
      </c>
      <c r="W157" s="1"/>
      <c r="X157" s="1">
        <f t="shared" si="71"/>
        <v>-62851.78</v>
      </c>
      <c r="Y157" s="1"/>
      <c r="Z157" s="5">
        <f t="shared" si="72"/>
        <v>-1.4449681587235901</v>
      </c>
    </row>
    <row r="158" spans="1:26" s="24" customFormat="1" hidden="1" outlineLevel="2" x14ac:dyDescent="0.25">
      <c r="A158" s="28"/>
      <c r="B158" s="11" t="str">
        <f>CONCATENATE("          ", "6305", " - ", "FREIGHT OUT")</f>
        <v xml:space="preserve">          6305 - FREIGHT OUT</v>
      </c>
      <c r="C158" s="11"/>
      <c r="D158" s="6">
        <v>16808.28</v>
      </c>
      <c r="E158" s="2"/>
      <c r="F158" s="7">
        <f t="shared" si="65"/>
        <v>0.15146325230016108</v>
      </c>
      <c r="G158" s="2"/>
      <c r="H158" s="6">
        <v>7601</v>
      </c>
      <c r="I158" s="2"/>
      <c r="J158" s="7">
        <f t="shared" si="66"/>
        <v>2.1458839737671966E-2</v>
      </c>
      <c r="K158" s="2"/>
      <c r="L158" s="6">
        <f t="shared" si="67"/>
        <v>9207.2799999999988</v>
      </c>
      <c r="M158" s="2"/>
      <c r="N158" s="7">
        <f t="shared" si="68"/>
        <v>1.2113248256808313</v>
      </c>
      <c r="O158" s="11"/>
      <c r="P158" s="6">
        <v>103061.02</v>
      </c>
      <c r="Q158" s="2"/>
      <c r="R158" s="7">
        <f t="shared" si="69"/>
        <v>4.1810034123887563E-2</v>
      </c>
      <c r="S158" s="2"/>
      <c r="T158" s="6">
        <v>27647</v>
      </c>
      <c r="U158" s="2"/>
      <c r="V158" s="7">
        <f t="shared" si="70"/>
        <v>6.3693930012472923E-3</v>
      </c>
      <c r="W158" s="2"/>
      <c r="X158" s="6">
        <f t="shared" si="71"/>
        <v>75414.02</v>
      </c>
      <c r="Y158" s="2"/>
      <c r="Z158" s="7">
        <f t="shared" si="72"/>
        <v>2.7277469526530909</v>
      </c>
    </row>
    <row r="159" spans="1:26" s="24" customFormat="1" hidden="1" outlineLevel="2" x14ac:dyDescent="0.25">
      <c r="A159" s="28"/>
      <c r="B159" s="11" t="str">
        <f>CONCATENATE("          ", "6307", " - ", "POSTAGE")</f>
        <v xml:space="preserve">          6307 - POSTAGE</v>
      </c>
      <c r="C159" s="11"/>
      <c r="D159" s="6">
        <v>-4319.71</v>
      </c>
      <c r="E159" s="2"/>
      <c r="F159" s="7">
        <f t="shared" si="65"/>
        <v>-3.8925893999476976E-2</v>
      </c>
      <c r="G159" s="2"/>
      <c r="H159" s="6">
        <v>1020</v>
      </c>
      <c r="I159" s="2"/>
      <c r="J159" s="7">
        <f t="shared" si="66"/>
        <v>2.8796232775194588E-3</v>
      </c>
      <c r="K159" s="2"/>
      <c r="L159" s="6">
        <f t="shared" si="67"/>
        <v>-5339.71</v>
      </c>
      <c r="M159" s="2"/>
      <c r="N159" s="7">
        <f t="shared" si="68"/>
        <v>-5.2350098039215682</v>
      </c>
      <c r="O159" s="11"/>
      <c r="P159" s="6">
        <v>-122415.8</v>
      </c>
      <c r="Q159" s="2"/>
      <c r="R159" s="7">
        <f t="shared" si="69"/>
        <v>-4.9661926257890669E-2</v>
      </c>
      <c r="S159" s="2"/>
      <c r="T159" s="6">
        <v>15850</v>
      </c>
      <c r="U159" s="2"/>
      <c r="V159" s="7">
        <f t="shared" si="70"/>
        <v>3.6515672250070383E-3</v>
      </c>
      <c r="W159" s="2"/>
      <c r="X159" s="6">
        <f t="shared" si="71"/>
        <v>-138265.79999999999</v>
      </c>
      <c r="Y159" s="2"/>
      <c r="Z159" s="7">
        <f t="shared" si="72"/>
        <v>-8.7233943217665608</v>
      </c>
    </row>
    <row r="160" spans="1:26" s="29" customFormat="1" outlineLevel="1" collapsed="1" x14ac:dyDescent="0.25">
      <c r="A160" s="27"/>
      <c r="B160" s="14" t="str">
        <f>CONCATENATE("     ","General                                           ")</f>
        <v xml:space="preserve">     General                                           </v>
      </c>
      <c r="C160" s="14"/>
      <c r="D160" s="1">
        <f>SUM(OSRRefD22_11x_0)</f>
        <v>3792.73</v>
      </c>
      <c r="E160" s="1"/>
      <c r="F160" s="5">
        <f t="shared" ref="F160:F163" si="73">IF(D$12=0,0,D160/D$12)</f>
        <v>3.4177156787987231E-2</v>
      </c>
      <c r="G160" s="1"/>
      <c r="H160" s="1">
        <f>SUM(OSRRefH22_11x_0)</f>
        <v>3050</v>
      </c>
      <c r="I160" s="1"/>
      <c r="J160" s="5">
        <f t="shared" ref="J160:J163" si="74">IF(H$12=0,0,H160/H$12)</f>
        <v>8.6106382317983812E-3</v>
      </c>
      <c r="K160" s="1"/>
      <c r="L160" s="1">
        <f t="shared" ref="L160:L163" si="75">+D160-H160</f>
        <v>742.73</v>
      </c>
      <c r="M160" s="1"/>
      <c r="N160" s="5">
        <f t="shared" ref="N160:N163" si="76">IF(H160=0,0,L160/H160)</f>
        <v>0.24351803278688525</v>
      </c>
      <c r="O160" s="14"/>
      <c r="P160" s="1">
        <f>SUM(OSRRefP22_11x_0)</f>
        <v>545.9</v>
      </c>
      <c r="Q160" s="1"/>
      <c r="R160" s="5">
        <f t="shared" ref="R160:R163" si="77">IF(P$12=0,0,P160/P$12)</f>
        <v>2.2146198075887681E-4</v>
      </c>
      <c r="S160" s="1"/>
      <c r="T160" s="1">
        <f>SUM(OSRRefT22_11x_0)</f>
        <v>6375</v>
      </c>
      <c r="U160" s="1"/>
      <c r="V160" s="5">
        <f t="shared" ref="V160:V163" si="78">IF(T$12=0,0,T160/T$12)</f>
        <v>1.4686902876605596E-3</v>
      </c>
      <c r="W160" s="1"/>
      <c r="X160" s="1">
        <f t="shared" ref="X160:X163" si="79">+P160-T160</f>
        <v>-5829.1</v>
      </c>
      <c r="Y160" s="1"/>
      <c r="Z160" s="5">
        <f t="shared" ref="Z160:Z163" si="80">IF(T160=0,0,X160/T160)</f>
        <v>-0.91436862745098046</v>
      </c>
    </row>
    <row r="161" spans="1:26" s="24" customFormat="1" hidden="1" outlineLevel="2" x14ac:dyDescent="0.25">
      <c r="A161" s="28"/>
      <c r="B161" s="11" t="str">
        <f>CONCATENATE("          ", "6269", " - ", "ENTERTAINMENT")</f>
        <v xml:space="preserve">          6269 - ENTERTAINMENT</v>
      </c>
      <c r="C161" s="11"/>
      <c r="D161" s="6"/>
      <c r="E161" s="2"/>
      <c r="F161" s="7">
        <f t="shared" si="73"/>
        <v>0</v>
      </c>
      <c r="G161" s="2"/>
      <c r="H161" s="6">
        <v>1250</v>
      </c>
      <c r="I161" s="2"/>
      <c r="J161" s="7">
        <f t="shared" si="74"/>
        <v>3.5289500949993364E-3</v>
      </c>
      <c r="K161" s="2"/>
      <c r="L161" s="6">
        <f t="shared" si="75"/>
        <v>-1250</v>
      </c>
      <c r="M161" s="2"/>
      <c r="N161" s="7">
        <f t="shared" si="76"/>
        <v>-1</v>
      </c>
      <c r="O161" s="11"/>
      <c r="P161" s="6"/>
      <c r="Q161" s="2"/>
      <c r="R161" s="7">
        <f t="shared" si="77"/>
        <v>0</v>
      </c>
      <c r="S161" s="2"/>
      <c r="T161" s="6">
        <v>1375</v>
      </c>
      <c r="U161" s="2"/>
      <c r="V161" s="7">
        <f t="shared" si="78"/>
        <v>3.1677633655423831E-4</v>
      </c>
      <c r="W161" s="2"/>
      <c r="X161" s="6">
        <f t="shared" si="79"/>
        <v>-1375</v>
      </c>
      <c r="Y161" s="2"/>
      <c r="Z161" s="7">
        <f t="shared" si="80"/>
        <v>-1</v>
      </c>
    </row>
    <row r="162" spans="1:26" s="24" customFormat="1" hidden="1" outlineLevel="2" x14ac:dyDescent="0.25">
      <c r="A162" s="28"/>
      <c r="B162" s="11" t="str">
        <f>CONCATENATE("          ", "6276", " - ", "PROPERTY TAX")</f>
        <v xml:space="preserve">          6276 - PROPERTY TAX</v>
      </c>
      <c r="C162" s="11"/>
      <c r="D162" s="6"/>
      <c r="E162" s="2"/>
      <c r="F162" s="7">
        <f t="shared" si="73"/>
        <v>0</v>
      </c>
      <c r="G162" s="2"/>
      <c r="H162" s="6"/>
      <c r="I162" s="2"/>
      <c r="J162" s="7">
        <f t="shared" si="74"/>
        <v>0</v>
      </c>
      <c r="K162" s="2"/>
      <c r="L162" s="6">
        <f t="shared" si="75"/>
        <v>0</v>
      </c>
      <c r="M162" s="2"/>
      <c r="N162" s="7">
        <f t="shared" si="76"/>
        <v>0</v>
      </c>
      <c r="O162" s="11"/>
      <c r="P162" s="6"/>
      <c r="Q162" s="2"/>
      <c r="R162" s="7">
        <f t="shared" si="77"/>
        <v>0</v>
      </c>
      <c r="S162" s="2"/>
      <c r="T162" s="6">
        <v>150</v>
      </c>
      <c r="U162" s="2"/>
      <c r="V162" s="7">
        <f t="shared" si="78"/>
        <v>3.4557418533189634E-5</v>
      </c>
      <c r="W162" s="2"/>
      <c r="X162" s="6">
        <f t="shared" si="79"/>
        <v>-150</v>
      </c>
      <c r="Y162" s="2"/>
      <c r="Z162" s="7">
        <f t="shared" si="80"/>
        <v>-1</v>
      </c>
    </row>
    <row r="163" spans="1:26" s="24" customFormat="1" hidden="1" outlineLevel="2" x14ac:dyDescent="0.25">
      <c r="A163" s="28"/>
      <c r="B163" s="11" t="str">
        <f>CONCATENATE("          ", "6279", " - ", "GENERAL EXPENSE")</f>
        <v xml:space="preserve">          6279 - GENERAL EXPENSE</v>
      </c>
      <c r="C163" s="11"/>
      <c r="D163" s="6">
        <v>3792.73</v>
      </c>
      <c r="E163" s="2"/>
      <c r="F163" s="7">
        <f t="shared" si="73"/>
        <v>3.4177156787987231E-2</v>
      </c>
      <c r="G163" s="2"/>
      <c r="H163" s="6">
        <v>1800</v>
      </c>
      <c r="I163" s="2"/>
      <c r="J163" s="7">
        <f t="shared" si="74"/>
        <v>5.0816881367990443E-3</v>
      </c>
      <c r="K163" s="2"/>
      <c r="L163" s="6">
        <f t="shared" si="75"/>
        <v>1992.73</v>
      </c>
      <c r="M163" s="2"/>
      <c r="N163" s="7">
        <f t="shared" si="76"/>
        <v>1.1070722222222222</v>
      </c>
      <c r="O163" s="11"/>
      <c r="P163" s="6">
        <v>545.9</v>
      </c>
      <c r="Q163" s="2"/>
      <c r="R163" s="7">
        <f t="shared" si="77"/>
        <v>2.2146198075887681E-4</v>
      </c>
      <c r="S163" s="2"/>
      <c r="T163" s="6">
        <v>4850</v>
      </c>
      <c r="U163" s="2"/>
      <c r="V163" s="7">
        <f t="shared" si="78"/>
        <v>1.1173565325731316E-3</v>
      </c>
      <c r="W163" s="2"/>
      <c r="X163" s="6">
        <f t="shared" si="79"/>
        <v>-4304.1000000000004</v>
      </c>
      <c r="Y163" s="2"/>
      <c r="Z163" s="7">
        <f t="shared" si="80"/>
        <v>-0.88744329896907226</v>
      </c>
    </row>
    <row r="164" spans="1:26" s="29" customFormat="1" outlineLevel="1" collapsed="1" x14ac:dyDescent="0.25">
      <c r="A164" s="27"/>
      <c r="B164" s="14" t="str">
        <f>CONCATENATE("     ","Insurance                                         ")</f>
        <v xml:space="preserve">     Insurance                                         </v>
      </c>
      <c r="C164" s="14"/>
      <c r="D164" s="1">
        <f>SUM(OSRRefD22_12x_0)</f>
        <v>4044.74</v>
      </c>
      <c r="E164" s="1"/>
      <c r="F164" s="5">
        <f t="shared" ref="F164:F176" si="81">IF(D$12=0,0,D164/D$12)</f>
        <v>3.6448076490191356E-2</v>
      </c>
      <c r="G164" s="1"/>
      <c r="H164" s="1">
        <f>SUM(OSRRefH22_12x_0)</f>
        <v>4446</v>
      </c>
      <c r="I164" s="1"/>
      <c r="J164" s="5">
        <f t="shared" ref="J164:J176" si="82">IF(H$12=0,0,H164/H$12)</f>
        <v>1.255176969789364E-2</v>
      </c>
      <c r="K164" s="1"/>
      <c r="L164" s="1">
        <f t="shared" ref="L164:L176" si="83">+D164-H164</f>
        <v>-401.26000000000022</v>
      </c>
      <c r="M164" s="1"/>
      <c r="N164" s="5">
        <f t="shared" ref="N164:N176" si="84">IF(H164=0,0,L164/H164)</f>
        <v>-9.0251911830859247E-2</v>
      </c>
      <c r="O164" s="14"/>
      <c r="P164" s="1">
        <f>SUM(OSRRefP22_12x_0)</f>
        <v>20223.7</v>
      </c>
      <c r="Q164" s="1"/>
      <c r="R164" s="5">
        <f t="shared" ref="R164:R176" si="85">IF(P$12=0,0,P164/P$12)</f>
        <v>8.204397619112104E-3</v>
      </c>
      <c r="S164" s="1"/>
      <c r="T164" s="1">
        <f>SUM(OSRRefT22_12x_0)</f>
        <v>22230</v>
      </c>
      <c r="U164" s="1"/>
      <c r="V164" s="5">
        <f t="shared" ref="V164:V176" si="86">IF(T$12=0,0,T164/T$12)</f>
        <v>5.1214094266187043E-3</v>
      </c>
      <c r="W164" s="1"/>
      <c r="X164" s="1">
        <f t="shared" ref="X164:X176" si="87">+P164-T164</f>
        <v>-2006.2999999999993</v>
      </c>
      <c r="Y164" s="1"/>
      <c r="Z164" s="5">
        <f t="shared" ref="Z164:Z176" si="88">IF(T164=0,0,X164/T164)</f>
        <v>-9.0251911830859163E-2</v>
      </c>
    </row>
    <row r="165" spans="1:26" s="24" customFormat="1" hidden="1" outlineLevel="2" x14ac:dyDescent="0.25">
      <c r="A165" s="28"/>
      <c r="B165" s="11" t="str">
        <f>CONCATENATE("          ", "6314", " - ", "LIABILITY INSURANCE")</f>
        <v xml:space="preserve">          6314 - LIABILITY INSURANCE</v>
      </c>
      <c r="C165" s="11"/>
      <c r="D165" s="6">
        <v>4044.74</v>
      </c>
      <c r="E165" s="2"/>
      <c r="F165" s="7">
        <f t="shared" si="81"/>
        <v>3.6448076490191356E-2</v>
      </c>
      <c r="G165" s="2"/>
      <c r="H165" s="6">
        <v>4446</v>
      </c>
      <c r="I165" s="2"/>
      <c r="J165" s="7">
        <f t="shared" si="82"/>
        <v>1.255176969789364E-2</v>
      </c>
      <c r="K165" s="2"/>
      <c r="L165" s="6">
        <f t="shared" si="83"/>
        <v>-401.26000000000022</v>
      </c>
      <c r="M165" s="2"/>
      <c r="N165" s="7">
        <f t="shared" si="84"/>
        <v>-9.0251911830859247E-2</v>
      </c>
      <c r="O165" s="11"/>
      <c r="P165" s="6">
        <v>20223.7</v>
      </c>
      <c r="Q165" s="2"/>
      <c r="R165" s="7">
        <f t="shared" si="85"/>
        <v>8.204397619112104E-3</v>
      </c>
      <c r="S165" s="2"/>
      <c r="T165" s="6">
        <v>22230</v>
      </c>
      <c r="U165" s="2"/>
      <c r="V165" s="7">
        <f t="shared" si="86"/>
        <v>5.1214094266187043E-3</v>
      </c>
      <c r="W165" s="2"/>
      <c r="X165" s="6">
        <f t="shared" si="87"/>
        <v>-2006.2999999999993</v>
      </c>
      <c r="Y165" s="2"/>
      <c r="Z165" s="7">
        <f t="shared" si="88"/>
        <v>-9.0251911830859163E-2</v>
      </c>
    </row>
    <row r="166" spans="1:26" s="29" customFormat="1" outlineLevel="1" collapsed="1" x14ac:dyDescent="0.25">
      <c r="A166" s="27"/>
      <c r="B166" s="14" t="str">
        <f>CONCATENATE("     ","Inventory Adjustment                              ")</f>
        <v xml:space="preserve">     Inventory Adjustment                              </v>
      </c>
      <c r="C166" s="14"/>
      <c r="D166" s="1">
        <f>SUM(OSRRefD22_13x_0)</f>
        <v>2100</v>
      </c>
      <c r="E166" s="1"/>
      <c r="F166" s="5">
        <f t="shared" si="81"/>
        <v>1.8923579915990113E-2</v>
      </c>
      <c r="G166" s="1"/>
      <c r="H166" s="1">
        <f>SUM(OSRRefH22_13x_0)</f>
        <v>3100</v>
      </c>
      <c r="I166" s="1"/>
      <c r="J166" s="5">
        <f t="shared" si="82"/>
        <v>8.7517962355983542E-3</v>
      </c>
      <c r="K166" s="1"/>
      <c r="L166" s="1">
        <f t="shared" si="83"/>
        <v>-1000</v>
      </c>
      <c r="M166" s="1"/>
      <c r="N166" s="5">
        <f t="shared" si="84"/>
        <v>-0.32258064516129031</v>
      </c>
      <c r="O166" s="14"/>
      <c r="P166" s="1">
        <f>SUM(OSRRefP22_13x_0)</f>
        <v>10500</v>
      </c>
      <c r="Q166" s="1"/>
      <c r="R166" s="5">
        <f t="shared" si="85"/>
        <v>4.2596644036787083E-3</v>
      </c>
      <c r="S166" s="1"/>
      <c r="T166" s="1">
        <f>SUM(OSRRefT22_13x_0)</f>
        <v>15500</v>
      </c>
      <c r="U166" s="1"/>
      <c r="V166" s="5">
        <f t="shared" si="86"/>
        <v>3.5709332484295956E-3</v>
      </c>
      <c r="W166" s="1"/>
      <c r="X166" s="1">
        <f t="shared" si="87"/>
        <v>-5000</v>
      </c>
      <c r="Y166" s="1"/>
      <c r="Z166" s="5">
        <f t="shared" si="88"/>
        <v>-0.32258064516129031</v>
      </c>
    </row>
    <row r="167" spans="1:26" s="24" customFormat="1" hidden="1" outlineLevel="2" x14ac:dyDescent="0.25">
      <c r="A167" s="28"/>
      <c r="B167" s="11" t="str">
        <f>CONCATENATE("          ", "6408", " - ", "INVENTORY ADJUSTMENT")</f>
        <v xml:space="preserve">          6408 - INVENTORY ADJUSTMENT</v>
      </c>
      <c r="C167" s="11"/>
      <c r="D167" s="6">
        <v>2100</v>
      </c>
      <c r="E167" s="2"/>
      <c r="F167" s="7">
        <f t="shared" si="81"/>
        <v>1.8923579915990113E-2</v>
      </c>
      <c r="G167" s="2"/>
      <c r="H167" s="6">
        <v>3100</v>
      </c>
      <c r="I167" s="2"/>
      <c r="J167" s="7">
        <f t="shared" si="82"/>
        <v>8.7517962355983542E-3</v>
      </c>
      <c r="K167" s="2"/>
      <c r="L167" s="6">
        <f t="shared" si="83"/>
        <v>-1000</v>
      </c>
      <c r="M167" s="2"/>
      <c r="N167" s="7">
        <f t="shared" si="84"/>
        <v>-0.32258064516129031</v>
      </c>
      <c r="O167" s="11"/>
      <c r="P167" s="6">
        <v>10500</v>
      </c>
      <c r="Q167" s="2"/>
      <c r="R167" s="7">
        <f t="shared" si="85"/>
        <v>4.2596644036787083E-3</v>
      </c>
      <c r="S167" s="2"/>
      <c r="T167" s="6">
        <v>15500</v>
      </c>
      <c r="U167" s="2"/>
      <c r="V167" s="7">
        <f t="shared" si="86"/>
        <v>3.5709332484295956E-3</v>
      </c>
      <c r="W167" s="2"/>
      <c r="X167" s="6">
        <f t="shared" si="87"/>
        <v>-5000</v>
      </c>
      <c r="Y167" s="2"/>
      <c r="Z167" s="7">
        <f t="shared" si="88"/>
        <v>-0.32258064516129031</v>
      </c>
    </row>
    <row r="168" spans="1:26" s="29" customFormat="1" outlineLevel="1" collapsed="1" x14ac:dyDescent="0.25">
      <c r="A168" s="27"/>
      <c r="B168" s="14" t="str">
        <f>CONCATENATE("     ","Professional Services                             ")</f>
        <v xml:space="preserve">     Professional Services                             </v>
      </c>
      <c r="C168" s="14"/>
      <c r="D168" s="1">
        <f>SUM(OSRRefD22_14x_0)</f>
        <v>0</v>
      </c>
      <c r="E168" s="1"/>
      <c r="F168" s="5">
        <f t="shared" si="81"/>
        <v>0</v>
      </c>
      <c r="G168" s="1"/>
      <c r="H168" s="1">
        <f>SUM(OSRRefH22_14x_0)</f>
        <v>0</v>
      </c>
      <c r="I168" s="1"/>
      <c r="J168" s="5">
        <f t="shared" si="82"/>
        <v>0</v>
      </c>
      <c r="K168" s="1"/>
      <c r="L168" s="1">
        <f t="shared" si="83"/>
        <v>0</v>
      </c>
      <c r="M168" s="1"/>
      <c r="N168" s="5">
        <f t="shared" si="84"/>
        <v>0</v>
      </c>
      <c r="O168" s="14"/>
      <c r="P168" s="1">
        <f>SUM(OSRRefP22_14x_0)</f>
        <v>0</v>
      </c>
      <c r="Q168" s="1"/>
      <c r="R168" s="5">
        <f t="shared" si="85"/>
        <v>0</v>
      </c>
      <c r="S168" s="1"/>
      <c r="T168" s="1">
        <f>SUM(OSRRefT22_14x_0)</f>
        <v>6800</v>
      </c>
      <c r="U168" s="1"/>
      <c r="V168" s="5">
        <f t="shared" si="86"/>
        <v>1.5666029735045969E-3</v>
      </c>
      <c r="W168" s="1"/>
      <c r="X168" s="1">
        <f t="shared" si="87"/>
        <v>-6800</v>
      </c>
      <c r="Y168" s="1"/>
      <c r="Z168" s="5">
        <f t="shared" si="88"/>
        <v>-1</v>
      </c>
    </row>
    <row r="169" spans="1:26" s="24" customFormat="1" hidden="1" outlineLevel="2" x14ac:dyDescent="0.25">
      <c r="A169" s="28"/>
      <c r="B169" s="11" t="str">
        <f>CONCATENATE("          ", "6336", " - ", "PROFESSIONAL SERVICES")</f>
        <v xml:space="preserve">          6336 - PROFESSIONAL SERVICES</v>
      </c>
      <c r="C169" s="11"/>
      <c r="D169" s="6"/>
      <c r="E169" s="2"/>
      <c r="F169" s="7">
        <f t="shared" si="81"/>
        <v>0</v>
      </c>
      <c r="G169" s="2"/>
      <c r="H169" s="6">
        <v>0</v>
      </c>
      <c r="I169" s="2"/>
      <c r="J169" s="7">
        <f t="shared" si="82"/>
        <v>0</v>
      </c>
      <c r="K169" s="2"/>
      <c r="L169" s="6">
        <f t="shared" si="83"/>
        <v>0</v>
      </c>
      <c r="M169" s="2"/>
      <c r="N169" s="7">
        <f t="shared" si="84"/>
        <v>0</v>
      </c>
      <c r="O169" s="11"/>
      <c r="P169" s="6"/>
      <c r="Q169" s="2"/>
      <c r="R169" s="7">
        <f t="shared" si="85"/>
        <v>0</v>
      </c>
      <c r="S169" s="2"/>
      <c r="T169" s="6">
        <v>6800</v>
      </c>
      <c r="U169" s="2"/>
      <c r="V169" s="7">
        <f t="shared" si="86"/>
        <v>1.5666029735045969E-3</v>
      </c>
      <c r="W169" s="2"/>
      <c r="X169" s="6">
        <f t="shared" si="87"/>
        <v>-6800</v>
      </c>
      <c r="Y169" s="2"/>
      <c r="Z169" s="7">
        <f t="shared" si="88"/>
        <v>-1</v>
      </c>
    </row>
    <row r="170" spans="1:26" s="29" customFormat="1" outlineLevel="1" collapsed="1" x14ac:dyDescent="0.25">
      <c r="A170" s="27"/>
      <c r="B170" s="14" t="str">
        <f>CONCATENATE("     ","Rent                                              ")</f>
        <v xml:space="preserve">     Rent                                              </v>
      </c>
      <c r="C170" s="14"/>
      <c r="D170" s="1">
        <f>SUM(OSRRefD22_15x_0)</f>
        <v>6100</v>
      </c>
      <c r="E170" s="1"/>
      <c r="F170" s="5">
        <f t="shared" si="81"/>
        <v>5.4968494041685564E-2</v>
      </c>
      <c r="G170" s="1"/>
      <c r="H170" s="1">
        <f>SUM(OSRRefH22_15x_0)</f>
        <v>6100</v>
      </c>
      <c r="I170" s="1"/>
      <c r="J170" s="5">
        <f t="shared" si="82"/>
        <v>1.7221276463596762E-2</v>
      </c>
      <c r="K170" s="1"/>
      <c r="L170" s="1">
        <f t="shared" si="83"/>
        <v>0</v>
      </c>
      <c r="M170" s="1"/>
      <c r="N170" s="5">
        <f t="shared" si="84"/>
        <v>0</v>
      </c>
      <c r="O170" s="14"/>
      <c r="P170" s="1">
        <f>SUM(OSRRefP22_15x_0)</f>
        <v>30500</v>
      </c>
      <c r="Q170" s="1"/>
      <c r="R170" s="5">
        <f t="shared" si="85"/>
        <v>1.2373310886876246E-2</v>
      </c>
      <c r="S170" s="1"/>
      <c r="T170" s="1">
        <f>SUM(OSRRefT22_15x_0)</f>
        <v>30501</v>
      </c>
      <c r="U170" s="1"/>
      <c r="V170" s="5">
        <f t="shared" si="86"/>
        <v>7.0269054845387806E-3</v>
      </c>
      <c r="W170" s="1"/>
      <c r="X170" s="1">
        <f t="shared" si="87"/>
        <v>-1</v>
      </c>
      <c r="Y170" s="1"/>
      <c r="Z170" s="5">
        <f t="shared" si="88"/>
        <v>-3.2785810301301594E-5</v>
      </c>
    </row>
    <row r="171" spans="1:26" s="24" customFormat="1" hidden="1" outlineLevel="2" x14ac:dyDescent="0.25">
      <c r="A171" s="28"/>
      <c r="B171" s="11" t="str">
        <f>CONCATENATE("          ", "6273", " - ", "RENT")</f>
        <v xml:space="preserve">          6273 - RENT</v>
      </c>
      <c r="C171" s="11"/>
      <c r="D171" s="6">
        <v>6100</v>
      </c>
      <c r="E171" s="2"/>
      <c r="F171" s="7">
        <f t="shared" si="81"/>
        <v>5.4968494041685564E-2</v>
      </c>
      <c r="G171" s="2"/>
      <c r="H171" s="6">
        <v>6100</v>
      </c>
      <c r="I171" s="2"/>
      <c r="J171" s="7">
        <f t="shared" si="82"/>
        <v>1.7221276463596762E-2</v>
      </c>
      <c r="K171" s="2"/>
      <c r="L171" s="6">
        <f t="shared" si="83"/>
        <v>0</v>
      </c>
      <c r="M171" s="2"/>
      <c r="N171" s="7">
        <f t="shared" si="84"/>
        <v>0</v>
      </c>
      <c r="O171" s="11"/>
      <c r="P171" s="6">
        <v>30500</v>
      </c>
      <c r="Q171" s="2"/>
      <c r="R171" s="7">
        <f t="shared" si="85"/>
        <v>1.2373310886876246E-2</v>
      </c>
      <c r="S171" s="2"/>
      <c r="T171" s="6">
        <v>30501</v>
      </c>
      <c r="U171" s="2"/>
      <c r="V171" s="7">
        <f t="shared" si="86"/>
        <v>7.0269054845387806E-3</v>
      </c>
      <c r="W171" s="2"/>
      <c r="X171" s="6">
        <f t="shared" si="87"/>
        <v>-1</v>
      </c>
      <c r="Y171" s="2"/>
      <c r="Z171" s="7">
        <f t="shared" si="88"/>
        <v>-3.2785810301301594E-5</v>
      </c>
    </row>
    <row r="172" spans="1:26" s="29" customFormat="1" outlineLevel="1" collapsed="1" x14ac:dyDescent="0.25">
      <c r="A172" s="27"/>
      <c r="B172" s="14" t="str">
        <f>CONCATENATE("     ","Repair and Maintenance                            ")</f>
        <v xml:space="preserve">     Repair and Maintenance                            </v>
      </c>
      <c r="C172" s="14"/>
      <c r="D172" s="1">
        <f>SUM(OSRRefD22_16x_0)</f>
        <v>3234.7799999999997</v>
      </c>
      <c r="E172" s="1"/>
      <c r="F172" s="5">
        <f t="shared" si="81"/>
        <v>2.9149341828879283E-2</v>
      </c>
      <c r="G172" s="1"/>
      <c r="H172" s="1">
        <f>SUM(OSRRefH22_16x_0)</f>
        <v>10790</v>
      </c>
      <c r="I172" s="1"/>
      <c r="J172" s="5">
        <f t="shared" si="82"/>
        <v>3.0461897220034274E-2</v>
      </c>
      <c r="K172" s="1"/>
      <c r="L172" s="1">
        <f t="shared" si="83"/>
        <v>-7555.22</v>
      </c>
      <c r="M172" s="1"/>
      <c r="N172" s="5">
        <f t="shared" si="84"/>
        <v>-0.70020574606116781</v>
      </c>
      <c r="O172" s="14"/>
      <c r="P172" s="1">
        <f>SUM(OSRRefP22_16x_0)</f>
        <v>101179.15</v>
      </c>
      <c r="Q172" s="1"/>
      <c r="R172" s="5">
        <f t="shared" si="85"/>
        <v>4.1046592728520813E-2</v>
      </c>
      <c r="S172" s="1"/>
      <c r="T172" s="1">
        <f>SUM(OSRRefT22_16x_0)</f>
        <v>114150</v>
      </c>
      <c r="U172" s="1"/>
      <c r="V172" s="5">
        <f t="shared" si="86"/>
        <v>2.6298195503757314E-2</v>
      </c>
      <c r="W172" s="1"/>
      <c r="X172" s="1">
        <f t="shared" si="87"/>
        <v>-12970.850000000006</v>
      </c>
      <c r="Y172" s="1"/>
      <c r="Z172" s="5">
        <f t="shared" si="88"/>
        <v>-0.11362987297415686</v>
      </c>
    </row>
    <row r="173" spans="1:26" s="24" customFormat="1" hidden="1" outlineLevel="2" x14ac:dyDescent="0.25">
      <c r="A173" s="28"/>
      <c r="B173" s="11" t="str">
        <f>CONCATENATE("          ", "6371", " - ", "COMPUTER SOFTWARE MAINTENANCE")</f>
        <v xml:space="preserve">          6371 - COMPUTER SOFTWARE MAINTENANCE</v>
      </c>
      <c r="C173" s="11"/>
      <c r="D173" s="6"/>
      <c r="E173" s="2"/>
      <c r="F173" s="7">
        <f t="shared" si="81"/>
        <v>0</v>
      </c>
      <c r="G173" s="2"/>
      <c r="H173" s="6"/>
      <c r="I173" s="2"/>
      <c r="J173" s="7">
        <f t="shared" si="82"/>
        <v>0</v>
      </c>
      <c r="K173" s="2"/>
      <c r="L173" s="6">
        <f t="shared" si="83"/>
        <v>0</v>
      </c>
      <c r="M173" s="2"/>
      <c r="N173" s="7">
        <f t="shared" si="84"/>
        <v>0</v>
      </c>
      <c r="O173" s="11"/>
      <c r="P173" s="6">
        <v>58436.47</v>
      </c>
      <c r="Q173" s="2"/>
      <c r="R173" s="7">
        <f t="shared" si="85"/>
        <v>2.3706642965298924E-2</v>
      </c>
      <c r="S173" s="2"/>
      <c r="T173" s="6">
        <v>45000</v>
      </c>
      <c r="U173" s="2"/>
      <c r="V173" s="7">
        <f t="shared" si="86"/>
        <v>1.0367225559956891E-2</v>
      </c>
      <c r="W173" s="2"/>
      <c r="X173" s="6">
        <f t="shared" si="87"/>
        <v>13436.470000000001</v>
      </c>
      <c r="Y173" s="2"/>
      <c r="Z173" s="7">
        <f t="shared" si="88"/>
        <v>0.29858822222222225</v>
      </c>
    </row>
    <row r="174" spans="1:26" s="24" customFormat="1" hidden="1" outlineLevel="2" x14ac:dyDescent="0.25">
      <c r="A174" s="28"/>
      <c r="B174" s="11" t="str">
        <f>CONCATENATE("          ", "6372", " - ", "COMPUTER HARDWARE MAINTENANCE")</f>
        <v xml:space="preserve">          6372 - COMPUTER HARDWARE MAINTENANCE</v>
      </c>
      <c r="C174" s="11"/>
      <c r="D174" s="6"/>
      <c r="E174" s="2"/>
      <c r="F174" s="7">
        <f t="shared" si="81"/>
        <v>0</v>
      </c>
      <c r="G174" s="2"/>
      <c r="H174" s="6"/>
      <c r="I174" s="2"/>
      <c r="J174" s="7">
        <f t="shared" si="82"/>
        <v>0</v>
      </c>
      <c r="K174" s="2"/>
      <c r="L174" s="6">
        <f t="shared" si="83"/>
        <v>0</v>
      </c>
      <c r="M174" s="2"/>
      <c r="N174" s="7">
        <f t="shared" si="84"/>
        <v>0</v>
      </c>
      <c r="O174" s="11"/>
      <c r="P174" s="6">
        <v>0</v>
      </c>
      <c r="Q174" s="2"/>
      <c r="R174" s="7">
        <f t="shared" si="85"/>
        <v>0</v>
      </c>
      <c r="S174" s="2"/>
      <c r="T174" s="6"/>
      <c r="U174" s="2"/>
      <c r="V174" s="7">
        <f t="shared" si="86"/>
        <v>0</v>
      </c>
      <c r="W174" s="2"/>
      <c r="X174" s="6">
        <f t="shared" si="87"/>
        <v>0</v>
      </c>
      <c r="Y174" s="2"/>
      <c r="Z174" s="7">
        <f t="shared" si="88"/>
        <v>0</v>
      </c>
    </row>
    <row r="175" spans="1:26" s="24" customFormat="1" hidden="1" outlineLevel="2" x14ac:dyDescent="0.25">
      <c r="A175" s="28"/>
      <c r="B175" s="11" t="str">
        <f>CONCATENATE("          ", "6373", " - ", "MAINTENANCE CONTRACTS")</f>
        <v xml:space="preserve">          6373 - MAINTENANCE CONTRACTS</v>
      </c>
      <c r="C175" s="11"/>
      <c r="D175" s="6">
        <v>440.29</v>
      </c>
      <c r="E175" s="2"/>
      <c r="F175" s="7">
        <f t="shared" si="81"/>
        <v>3.9675538101006129E-3</v>
      </c>
      <c r="G175" s="2"/>
      <c r="H175" s="6">
        <v>2440</v>
      </c>
      <c r="I175" s="2"/>
      <c r="J175" s="7">
        <f t="shared" si="82"/>
        <v>6.8885105854387049E-3</v>
      </c>
      <c r="K175" s="2"/>
      <c r="L175" s="6">
        <f t="shared" si="83"/>
        <v>-1999.71</v>
      </c>
      <c r="M175" s="2"/>
      <c r="N175" s="7">
        <f t="shared" si="84"/>
        <v>-0.81955327868852457</v>
      </c>
      <c r="O175" s="11"/>
      <c r="P175" s="6">
        <v>31026.01</v>
      </c>
      <c r="Q175" s="2"/>
      <c r="R175" s="7">
        <f t="shared" si="85"/>
        <v>1.2586703846207583E-2</v>
      </c>
      <c r="S175" s="2"/>
      <c r="T175" s="6">
        <v>26900</v>
      </c>
      <c r="U175" s="2"/>
      <c r="V175" s="7">
        <f t="shared" si="86"/>
        <v>6.1972970569520083E-3</v>
      </c>
      <c r="W175" s="2"/>
      <c r="X175" s="6">
        <f t="shared" si="87"/>
        <v>4126.0099999999984</v>
      </c>
      <c r="Y175" s="2"/>
      <c r="Z175" s="7">
        <f t="shared" si="88"/>
        <v>0.15338327137546462</v>
      </c>
    </row>
    <row r="176" spans="1:26" s="24" customFormat="1" hidden="1" outlineLevel="2" x14ac:dyDescent="0.25">
      <c r="A176" s="28"/>
      <c r="B176" s="11" t="str">
        <f>CONCATENATE("          ", "6375", " - ", "OUTSIDE REPAIRS &amp; MAINTENANCE")</f>
        <v xml:space="preserve">          6375 - OUTSIDE REPAIRS &amp; MAINTENANCE</v>
      </c>
      <c r="C176" s="11"/>
      <c r="D176" s="6">
        <v>2794.49</v>
      </c>
      <c r="E176" s="2"/>
      <c r="F176" s="7">
        <f t="shared" si="81"/>
        <v>2.518178801877867E-2</v>
      </c>
      <c r="G176" s="2"/>
      <c r="H176" s="6">
        <v>8350</v>
      </c>
      <c r="I176" s="2"/>
      <c r="J176" s="7">
        <f t="shared" si="82"/>
        <v>2.3573386634595569E-2</v>
      </c>
      <c r="K176" s="2"/>
      <c r="L176" s="6">
        <f t="shared" si="83"/>
        <v>-5555.51</v>
      </c>
      <c r="M176" s="2"/>
      <c r="N176" s="7">
        <f t="shared" si="84"/>
        <v>-0.66533053892215577</v>
      </c>
      <c r="O176" s="11"/>
      <c r="P176" s="6">
        <v>11716.67</v>
      </c>
      <c r="Q176" s="2"/>
      <c r="R176" s="7">
        <f t="shared" si="85"/>
        <v>4.7532459170143053E-3</v>
      </c>
      <c r="S176" s="2"/>
      <c r="T176" s="6">
        <v>42250</v>
      </c>
      <c r="U176" s="2"/>
      <c r="V176" s="7">
        <f t="shared" si="86"/>
        <v>9.7336728868484147E-3</v>
      </c>
      <c r="W176" s="2"/>
      <c r="X176" s="6">
        <f t="shared" si="87"/>
        <v>-30533.33</v>
      </c>
      <c r="Y176" s="2"/>
      <c r="Z176" s="7">
        <f t="shared" si="88"/>
        <v>-0.72268236686390541</v>
      </c>
    </row>
    <row r="177" spans="1:26" s="29" customFormat="1" outlineLevel="1" collapsed="1" x14ac:dyDescent="0.25">
      <c r="A177" s="27"/>
      <c r="B177" s="14" t="str">
        <f>CONCATENATE("     ","Royalty &amp; Commissions                             ")</f>
        <v xml:space="preserve">     Royalty &amp; Commissions                             </v>
      </c>
      <c r="C177" s="14"/>
      <c r="D177" s="1">
        <f>SUM(OSRRefD22_17x_0)</f>
        <v>4453.09</v>
      </c>
      <c r="E177" s="1"/>
      <c r="F177" s="5">
        <f t="shared" ref="F177:F181" si="89">IF(D$12=0,0,D177/D$12)</f>
        <v>4.012781166099829E-2</v>
      </c>
      <c r="G177" s="1"/>
      <c r="H177" s="1">
        <f>SUM(OSRRefH22_17x_0)</f>
        <v>7171</v>
      </c>
      <c r="I177" s="1"/>
      <c r="J177" s="5">
        <f t="shared" ref="J177:J181" si="90">IF(H$12=0,0,H177/H$12)</f>
        <v>2.0244880904992196E-2</v>
      </c>
      <c r="K177" s="1"/>
      <c r="L177" s="1">
        <f t="shared" ref="L177:L181" si="91">+D177-H177</f>
        <v>-2717.91</v>
      </c>
      <c r="M177" s="1"/>
      <c r="N177" s="5">
        <f t="shared" ref="N177:N181" si="92">IF(H177=0,0,L177/H177)</f>
        <v>-0.37901408450704221</v>
      </c>
      <c r="O177" s="14"/>
      <c r="P177" s="1">
        <f>SUM(OSRRefP22_17x_0)</f>
        <v>28570.09</v>
      </c>
      <c r="Q177" s="1"/>
      <c r="R177" s="5">
        <f t="shared" ref="R177:R181" si="93">IF(P$12=0,0,P177/P$12)</f>
        <v>1.1590380512656859E-2</v>
      </c>
      <c r="S177" s="1"/>
      <c r="T177" s="1">
        <f>SUM(OSRRefT22_17x_0)</f>
        <v>34805</v>
      </c>
      <c r="U177" s="1"/>
      <c r="V177" s="5">
        <f t="shared" ref="V177:V181" si="94">IF(T$12=0,0,T177/T$12)</f>
        <v>8.018473013651101E-3</v>
      </c>
      <c r="W177" s="1"/>
      <c r="X177" s="1">
        <f t="shared" ref="X177:X181" si="95">+P177-T177</f>
        <v>-6234.91</v>
      </c>
      <c r="Y177" s="1"/>
      <c r="Z177" s="5">
        <f t="shared" ref="Z177:Z181" si="96">IF(T177=0,0,X177/T177)</f>
        <v>-0.17913834219221375</v>
      </c>
    </row>
    <row r="178" spans="1:26" s="24" customFormat="1" hidden="1" outlineLevel="2" x14ac:dyDescent="0.25">
      <c r="A178" s="28"/>
      <c r="B178" s="11" t="str">
        <f>CONCATENATE("          ", "6252", " - ", "ROYALTY DUE CSTV")</f>
        <v xml:space="preserve">          6252 - ROYALTY DUE CSTV</v>
      </c>
      <c r="C178" s="11"/>
      <c r="D178" s="6"/>
      <c r="E178" s="2"/>
      <c r="F178" s="7">
        <f t="shared" si="89"/>
        <v>0</v>
      </c>
      <c r="G178" s="2"/>
      <c r="H178" s="6">
        <v>1085</v>
      </c>
      <c r="I178" s="2"/>
      <c r="J178" s="7">
        <f t="shared" si="90"/>
        <v>3.0631286824594241E-3</v>
      </c>
      <c r="K178" s="2"/>
      <c r="L178" s="6">
        <f t="shared" si="91"/>
        <v>-1085</v>
      </c>
      <c r="M178" s="2"/>
      <c r="N178" s="7">
        <f t="shared" si="92"/>
        <v>-1</v>
      </c>
      <c r="O178" s="11"/>
      <c r="P178" s="6"/>
      <c r="Q178" s="2"/>
      <c r="R178" s="7">
        <f t="shared" si="93"/>
        <v>0</v>
      </c>
      <c r="S178" s="2"/>
      <c r="T178" s="6">
        <v>5425</v>
      </c>
      <c r="U178" s="2"/>
      <c r="V178" s="7">
        <f t="shared" si="94"/>
        <v>1.2498266369503584E-3</v>
      </c>
      <c r="W178" s="2"/>
      <c r="X178" s="6">
        <f t="shared" si="95"/>
        <v>-5425</v>
      </c>
      <c r="Y178" s="2"/>
      <c r="Z178" s="7">
        <f t="shared" si="96"/>
        <v>-1</v>
      </c>
    </row>
    <row r="179" spans="1:26" s="24" customFormat="1" hidden="1" outlineLevel="2" x14ac:dyDescent="0.25">
      <c r="A179" s="28"/>
      <c r="B179" s="11" t="str">
        <f>CONCATENATE("          ", "6253", " - ", "ROYALTY DUE ATHLETICS-LRG")</f>
        <v xml:space="preserve">          6253 - ROYALTY DUE ATHLETICS-LRG</v>
      </c>
      <c r="C179" s="11"/>
      <c r="D179" s="6"/>
      <c r="E179" s="2"/>
      <c r="F179" s="7">
        <f t="shared" si="89"/>
        <v>0</v>
      </c>
      <c r="G179" s="2"/>
      <c r="H179" s="6">
        <v>4037</v>
      </c>
      <c r="I179" s="2"/>
      <c r="J179" s="7">
        <f t="shared" si="90"/>
        <v>1.1397097226809857E-2</v>
      </c>
      <c r="K179" s="2"/>
      <c r="L179" s="6">
        <f t="shared" si="91"/>
        <v>-4037</v>
      </c>
      <c r="M179" s="2"/>
      <c r="N179" s="7">
        <f t="shared" si="92"/>
        <v>-1</v>
      </c>
      <c r="O179" s="11"/>
      <c r="P179" s="6">
        <v>18411.8</v>
      </c>
      <c r="Q179" s="2"/>
      <c r="R179" s="7">
        <f t="shared" si="93"/>
        <v>7.4693418159668219E-3</v>
      </c>
      <c r="S179" s="2"/>
      <c r="T179" s="6">
        <v>20185</v>
      </c>
      <c r="U179" s="2"/>
      <c r="V179" s="7">
        <f t="shared" si="94"/>
        <v>4.6502766206162191E-3</v>
      </c>
      <c r="W179" s="2"/>
      <c r="X179" s="6">
        <f t="shared" si="95"/>
        <v>-1773.2000000000007</v>
      </c>
      <c r="Y179" s="2"/>
      <c r="Z179" s="7">
        <f t="shared" si="96"/>
        <v>-8.7847411444141724E-2</v>
      </c>
    </row>
    <row r="180" spans="1:26" s="24" customFormat="1" hidden="1" outlineLevel="2" x14ac:dyDescent="0.25">
      <c r="A180" s="28"/>
      <c r="B180" s="11" t="str">
        <f>CONCATENATE("          ", "6254", " - ", "ROYALTY &amp; COMMISSIONS")</f>
        <v xml:space="preserve">          6254 - ROYALTY &amp; COMMISSIONS</v>
      </c>
      <c r="C180" s="11"/>
      <c r="D180" s="6"/>
      <c r="E180" s="2"/>
      <c r="F180" s="7">
        <f t="shared" si="89"/>
        <v>0</v>
      </c>
      <c r="G180" s="2"/>
      <c r="H180" s="6">
        <v>1149</v>
      </c>
      <c r="I180" s="2"/>
      <c r="J180" s="7">
        <f t="shared" si="90"/>
        <v>3.2438109273233901E-3</v>
      </c>
      <c r="K180" s="2"/>
      <c r="L180" s="6">
        <f t="shared" si="91"/>
        <v>-1149</v>
      </c>
      <c r="M180" s="2"/>
      <c r="N180" s="7">
        <f t="shared" si="92"/>
        <v>-1</v>
      </c>
      <c r="O180" s="11"/>
      <c r="P180" s="6"/>
      <c r="Q180" s="2"/>
      <c r="R180" s="7">
        <f t="shared" si="93"/>
        <v>0</v>
      </c>
      <c r="S180" s="2"/>
      <c r="T180" s="6">
        <v>5745</v>
      </c>
      <c r="U180" s="2"/>
      <c r="V180" s="7">
        <f t="shared" si="94"/>
        <v>1.323549129821163E-3</v>
      </c>
      <c r="W180" s="2"/>
      <c r="X180" s="6">
        <f t="shared" si="95"/>
        <v>-5745</v>
      </c>
      <c r="Y180" s="2"/>
      <c r="Z180" s="7">
        <f t="shared" si="96"/>
        <v>-1</v>
      </c>
    </row>
    <row r="181" spans="1:26" s="24" customFormat="1" hidden="1" outlineLevel="2" x14ac:dyDescent="0.25">
      <c r="A181" s="28"/>
      <c r="B181" s="11" t="str">
        <f>CONCATENATE("          ", "6259", " - ", "ROYALTY &amp; COMMISSIONS")</f>
        <v xml:space="preserve">          6259 - ROYALTY &amp; COMMISSIONS</v>
      </c>
      <c r="C181" s="11"/>
      <c r="D181" s="6">
        <v>4453.09</v>
      </c>
      <c r="E181" s="2"/>
      <c r="F181" s="7">
        <f t="shared" si="89"/>
        <v>4.012781166099829E-2</v>
      </c>
      <c r="G181" s="2"/>
      <c r="H181" s="6">
        <v>900</v>
      </c>
      <c r="I181" s="2"/>
      <c r="J181" s="7">
        <f t="shared" si="90"/>
        <v>2.5408440683995222E-3</v>
      </c>
      <c r="K181" s="2"/>
      <c r="L181" s="6">
        <f t="shared" si="91"/>
        <v>3553.09</v>
      </c>
      <c r="M181" s="2"/>
      <c r="N181" s="7">
        <f t="shared" si="92"/>
        <v>3.9478777777777778</v>
      </c>
      <c r="O181" s="11"/>
      <c r="P181" s="6">
        <v>10158.290000000001</v>
      </c>
      <c r="Q181" s="2"/>
      <c r="R181" s="7">
        <f t="shared" si="93"/>
        <v>4.1210386966900369E-3</v>
      </c>
      <c r="S181" s="2"/>
      <c r="T181" s="6">
        <v>3450</v>
      </c>
      <c r="U181" s="2"/>
      <c r="V181" s="7">
        <f t="shared" si="94"/>
        <v>7.948206262633616E-4</v>
      </c>
      <c r="W181" s="2"/>
      <c r="X181" s="6">
        <f t="shared" si="95"/>
        <v>6708.2900000000009</v>
      </c>
      <c r="Y181" s="2"/>
      <c r="Z181" s="7">
        <f t="shared" si="96"/>
        <v>1.9444318840579713</v>
      </c>
    </row>
    <row r="182" spans="1:26" s="29" customFormat="1" outlineLevel="1" collapsed="1" x14ac:dyDescent="0.25">
      <c r="A182" s="27"/>
      <c r="B182" s="14" t="str">
        <f>CONCATENATE("     ","Services                                          ")</f>
        <v xml:space="preserve">     Services                                          </v>
      </c>
      <c r="C182" s="14"/>
      <c r="D182" s="1">
        <f>SUM(OSRRefD22_18x_0)</f>
        <v>3898.5299999999997</v>
      </c>
      <c r="E182" s="1"/>
      <c r="F182" s="5">
        <f t="shared" ref="F182:F186" si="97">IF(D$12=0,0,D182/D$12)</f>
        <v>3.5130544766611871E-2</v>
      </c>
      <c r="G182" s="1"/>
      <c r="H182" s="1">
        <f>SUM(OSRRefH22_18x_0)</f>
        <v>4729</v>
      </c>
      <c r="I182" s="1"/>
      <c r="J182" s="5">
        <f t="shared" ref="J182:J186" si="98">IF(H$12=0,0,H182/H$12)</f>
        <v>1.335072399940149E-2</v>
      </c>
      <c r="K182" s="1"/>
      <c r="L182" s="1">
        <f t="shared" ref="L182:L186" si="99">+D182-H182</f>
        <v>-830.47000000000025</v>
      </c>
      <c r="M182" s="1"/>
      <c r="N182" s="5">
        <f t="shared" ref="N182:N186" si="100">IF(H182=0,0,L182/H182)</f>
        <v>-0.17561218016493979</v>
      </c>
      <c r="O182" s="14"/>
      <c r="P182" s="1">
        <f>SUM(OSRRefP22_18x_0)</f>
        <v>16689.72</v>
      </c>
      <c r="Q182" s="1"/>
      <c r="R182" s="5">
        <f t="shared" ref="R182:R186" si="101">IF(P$12=0,0,P182/P$12)</f>
        <v>6.7707243991775821E-3</v>
      </c>
      <c r="S182" s="1"/>
      <c r="T182" s="1">
        <f>SUM(OSRRefT22_18x_0)</f>
        <v>23426</v>
      </c>
      <c r="U182" s="1"/>
      <c r="V182" s="5">
        <f t="shared" ref="V182:V186" si="102">IF(T$12=0,0,T182/T$12)</f>
        <v>5.3969472437233358E-3</v>
      </c>
      <c r="W182" s="1"/>
      <c r="X182" s="1">
        <f t="shared" ref="X182:X186" si="103">+P182-T182</f>
        <v>-6736.2799999999988</v>
      </c>
      <c r="Y182" s="1"/>
      <c r="Z182" s="5">
        <f t="shared" ref="Z182:Z186" si="104">IF(T182=0,0,X182/T182)</f>
        <v>-0.2875557073337317</v>
      </c>
    </row>
    <row r="183" spans="1:26" s="24" customFormat="1" hidden="1" outlineLevel="2" x14ac:dyDescent="0.25">
      <c r="A183" s="28"/>
      <c r="B183" s="11" t="str">
        <f>CONCATENATE("          ", "6282", " - ", "JANITORIAL/EXTERMINATOR EXPENS")</f>
        <v xml:space="preserve">          6282 - JANITORIAL/EXTERMINATOR EXPENS</v>
      </c>
      <c r="C183" s="11"/>
      <c r="D183" s="6">
        <v>266.5</v>
      </c>
      <c r="E183" s="2"/>
      <c r="F183" s="7">
        <f t="shared" si="97"/>
        <v>2.4014924036244597E-3</v>
      </c>
      <c r="G183" s="2"/>
      <c r="H183" s="6">
        <v>4000</v>
      </c>
      <c r="I183" s="2"/>
      <c r="J183" s="7">
        <f t="shared" si="98"/>
        <v>1.1292640303997877E-2</v>
      </c>
      <c r="K183" s="2"/>
      <c r="L183" s="6">
        <f t="shared" si="99"/>
        <v>-3733.5</v>
      </c>
      <c r="M183" s="2"/>
      <c r="N183" s="7">
        <f t="shared" si="100"/>
        <v>-0.93337499999999995</v>
      </c>
      <c r="O183" s="11"/>
      <c r="P183" s="6">
        <v>5340.12</v>
      </c>
      <c r="Q183" s="2"/>
      <c r="R183" s="7">
        <f t="shared" si="101"/>
        <v>2.1663922928926421E-3</v>
      </c>
      <c r="S183" s="2"/>
      <c r="T183" s="6">
        <v>20000</v>
      </c>
      <c r="U183" s="2"/>
      <c r="V183" s="7">
        <f t="shared" si="102"/>
        <v>4.6076558044252846E-3</v>
      </c>
      <c r="W183" s="2"/>
      <c r="X183" s="6">
        <f t="shared" si="103"/>
        <v>-14659.880000000001</v>
      </c>
      <c r="Y183" s="2"/>
      <c r="Z183" s="7">
        <f t="shared" si="104"/>
        <v>-0.73299400000000003</v>
      </c>
    </row>
    <row r="184" spans="1:26" s="24" customFormat="1" hidden="1" outlineLevel="2" x14ac:dyDescent="0.25">
      <c r="A184" s="28"/>
      <c r="B184" s="11" t="str">
        <f>CONCATENATE("          ", "6283", " - ", "PLANT SERVICE")</f>
        <v xml:space="preserve">          6283 - PLANT SERVICE</v>
      </c>
      <c r="C184" s="11"/>
      <c r="D184" s="6">
        <v>41.31</v>
      </c>
      <c r="E184" s="2"/>
      <c r="F184" s="7">
        <f t="shared" si="97"/>
        <v>3.7225385063311984E-4</v>
      </c>
      <c r="G184" s="2"/>
      <c r="H184" s="6">
        <v>0</v>
      </c>
      <c r="I184" s="2"/>
      <c r="J184" s="7">
        <f t="shared" si="98"/>
        <v>0</v>
      </c>
      <c r="K184" s="2"/>
      <c r="L184" s="6">
        <f t="shared" si="99"/>
        <v>41.31</v>
      </c>
      <c r="M184" s="2"/>
      <c r="N184" s="7">
        <f t="shared" si="100"/>
        <v>0</v>
      </c>
      <c r="O184" s="11"/>
      <c r="P184" s="6">
        <v>171.31</v>
      </c>
      <c r="Q184" s="2"/>
      <c r="R184" s="7">
        <f t="shared" si="101"/>
        <v>6.9497438951828528E-5</v>
      </c>
      <c r="S184" s="2"/>
      <c r="T184" s="6">
        <v>0</v>
      </c>
      <c r="U184" s="2"/>
      <c r="V184" s="7">
        <f t="shared" si="102"/>
        <v>0</v>
      </c>
      <c r="W184" s="2"/>
      <c r="X184" s="6">
        <f t="shared" si="103"/>
        <v>171.31</v>
      </c>
      <c r="Y184" s="2"/>
      <c r="Z184" s="7">
        <f t="shared" si="104"/>
        <v>0</v>
      </c>
    </row>
    <row r="185" spans="1:26" s="24" customFormat="1" hidden="1" outlineLevel="2" x14ac:dyDescent="0.25">
      <c r="A185" s="28"/>
      <c r="B185" s="11" t="str">
        <f>CONCATENATE("          ", "6284", " - ", "TRASH REMOVAL EXPENSE")</f>
        <v xml:space="preserve">          6284 - TRASH REMOVAL EXPENSE</v>
      </c>
      <c r="C185" s="11"/>
      <c r="D185" s="6"/>
      <c r="E185" s="2"/>
      <c r="F185" s="7">
        <f t="shared" si="97"/>
        <v>0</v>
      </c>
      <c r="G185" s="2"/>
      <c r="H185" s="6">
        <v>55</v>
      </c>
      <c r="I185" s="2"/>
      <c r="J185" s="7">
        <f t="shared" si="98"/>
        <v>1.5527380417997081E-4</v>
      </c>
      <c r="K185" s="2"/>
      <c r="L185" s="6">
        <f t="shared" si="99"/>
        <v>-55</v>
      </c>
      <c r="M185" s="2"/>
      <c r="N185" s="7">
        <f t="shared" si="100"/>
        <v>-1</v>
      </c>
      <c r="O185" s="11"/>
      <c r="P185" s="6">
        <v>585.29999999999995</v>
      </c>
      <c r="Q185" s="2"/>
      <c r="R185" s="7">
        <f t="shared" si="101"/>
        <v>2.3744586433077595E-4</v>
      </c>
      <c r="S185" s="2"/>
      <c r="T185" s="6">
        <v>330</v>
      </c>
      <c r="U185" s="2"/>
      <c r="V185" s="7">
        <f t="shared" si="102"/>
        <v>7.6026320773017205E-5</v>
      </c>
      <c r="W185" s="2"/>
      <c r="X185" s="6">
        <f t="shared" si="103"/>
        <v>255.29999999999995</v>
      </c>
      <c r="Y185" s="2"/>
      <c r="Z185" s="7">
        <f t="shared" si="104"/>
        <v>0.77363636363636346</v>
      </c>
    </row>
    <row r="186" spans="1:26" s="24" customFormat="1" hidden="1" outlineLevel="2" x14ac:dyDescent="0.25">
      <c r="A186" s="28"/>
      <c r="B186" s="11" t="str">
        <f>CONCATENATE("          ", "6285", " - ", "JANITORIAL SERVICES")</f>
        <v xml:space="preserve">          6285 - JANITORIAL SERVICES</v>
      </c>
      <c r="C186" s="11"/>
      <c r="D186" s="6">
        <v>3590.72</v>
      </c>
      <c r="E186" s="2"/>
      <c r="F186" s="7">
        <f t="shared" si="97"/>
        <v>3.235679851235429E-2</v>
      </c>
      <c r="G186" s="2"/>
      <c r="H186" s="6">
        <v>674</v>
      </c>
      <c r="I186" s="2"/>
      <c r="J186" s="7">
        <f t="shared" si="98"/>
        <v>1.9028098912236423E-3</v>
      </c>
      <c r="K186" s="2"/>
      <c r="L186" s="6">
        <f t="shared" si="99"/>
        <v>2916.72</v>
      </c>
      <c r="M186" s="2"/>
      <c r="N186" s="7">
        <f t="shared" si="100"/>
        <v>4.3274777448071218</v>
      </c>
      <c r="O186" s="11"/>
      <c r="P186" s="6">
        <v>10592.99</v>
      </c>
      <c r="Q186" s="2"/>
      <c r="R186" s="7">
        <f t="shared" si="101"/>
        <v>4.2973888030023348E-3</v>
      </c>
      <c r="S186" s="2"/>
      <c r="T186" s="6">
        <v>3096</v>
      </c>
      <c r="U186" s="2"/>
      <c r="V186" s="7">
        <f t="shared" si="102"/>
        <v>7.1326511852503412E-4</v>
      </c>
      <c r="W186" s="2"/>
      <c r="X186" s="6">
        <f t="shared" si="103"/>
        <v>7496.99</v>
      </c>
      <c r="Y186" s="2"/>
      <c r="Z186" s="7">
        <f t="shared" si="104"/>
        <v>2.4215083979328162</v>
      </c>
    </row>
    <row r="187" spans="1:26" s="29" customFormat="1" outlineLevel="1" collapsed="1" x14ac:dyDescent="0.25">
      <c r="A187" s="27"/>
      <c r="B187" s="14" t="str">
        <f>CONCATENATE("     ","Subscriptions &amp; Dues                              ")</f>
        <v xml:space="preserve">     Subscriptions &amp; Dues                              </v>
      </c>
      <c r="C187" s="14"/>
      <c r="D187" s="1">
        <f>SUM(OSRRefD22_19x_0)</f>
        <v>-274.08</v>
      </c>
      <c r="E187" s="1"/>
      <c r="F187" s="5">
        <f t="shared" ref="F187:F189" si="105">IF(D$12=0,0,D187/D$12)</f>
        <v>-2.4697975158926525E-3</v>
      </c>
      <c r="G187" s="1"/>
      <c r="H187" s="1">
        <f>SUM(OSRRefH22_19x_0)</f>
        <v>1100</v>
      </c>
      <c r="I187" s="1"/>
      <c r="J187" s="5">
        <f t="shared" ref="J187:J189" si="106">IF(H$12=0,0,H187/H$12)</f>
        <v>3.1054760835994163E-3</v>
      </c>
      <c r="K187" s="1"/>
      <c r="L187" s="1">
        <f t="shared" ref="L187:L189" si="107">+D187-H187</f>
        <v>-1374.08</v>
      </c>
      <c r="M187" s="1"/>
      <c r="N187" s="5">
        <f t="shared" ref="N187:N189" si="108">IF(H187=0,0,L187/H187)</f>
        <v>-1.2491636363636363</v>
      </c>
      <c r="O187" s="14"/>
      <c r="P187" s="1">
        <f>SUM(OSRRefP22_19x_0)</f>
        <v>1375.01</v>
      </c>
      <c r="Q187" s="1"/>
      <c r="R187" s="5">
        <f t="shared" ref="R187:R189" si="109">IF(P$12=0,0,P187/P$12)</f>
        <v>5.5781725254307245E-4</v>
      </c>
      <c r="S187" s="1"/>
      <c r="T187" s="1">
        <f>SUM(OSRRefT22_19x_0)</f>
        <v>6895</v>
      </c>
      <c r="U187" s="1"/>
      <c r="V187" s="5">
        <f t="shared" ref="V187:V189" si="110">IF(T$12=0,0,T187/T$12)</f>
        <v>1.588489338575617E-3</v>
      </c>
      <c r="W187" s="1"/>
      <c r="X187" s="1">
        <f t="shared" ref="X187:X189" si="111">+P187-T187</f>
        <v>-5519.99</v>
      </c>
      <c r="Y187" s="1"/>
      <c r="Z187" s="5">
        <f t="shared" ref="Z187:Z189" si="112">IF(T187=0,0,X187/T187)</f>
        <v>-0.80057868020304568</v>
      </c>
    </row>
    <row r="188" spans="1:26" s="24" customFormat="1" hidden="1" outlineLevel="2" x14ac:dyDescent="0.25">
      <c r="A188" s="28"/>
      <c r="B188" s="11" t="str">
        <f>CONCATENATE("          ", "6258", " - ", "MEMBERSHIP DUES")</f>
        <v xml:space="preserve">          6258 - MEMBERSHIP DUES</v>
      </c>
      <c r="C188" s="11"/>
      <c r="D188" s="6">
        <v>-274.08</v>
      </c>
      <c r="E188" s="2"/>
      <c r="F188" s="7">
        <f t="shared" si="105"/>
        <v>-2.4697975158926525E-3</v>
      </c>
      <c r="G188" s="2"/>
      <c r="H188" s="6">
        <v>1100</v>
      </c>
      <c r="I188" s="2"/>
      <c r="J188" s="7">
        <f t="shared" si="106"/>
        <v>3.1054760835994163E-3</v>
      </c>
      <c r="K188" s="2"/>
      <c r="L188" s="6">
        <f t="shared" si="107"/>
        <v>-1374.08</v>
      </c>
      <c r="M188" s="2"/>
      <c r="N188" s="7">
        <f t="shared" si="108"/>
        <v>-1.2491636363636363</v>
      </c>
      <c r="O188" s="11"/>
      <c r="P188" s="6">
        <v>1149.28</v>
      </c>
      <c r="Q188" s="2"/>
      <c r="R188" s="7">
        <f t="shared" si="109"/>
        <v>4.6624258151046338E-4</v>
      </c>
      <c r="S188" s="2"/>
      <c r="T188" s="6">
        <v>6895</v>
      </c>
      <c r="U188" s="2"/>
      <c r="V188" s="7">
        <f t="shared" si="110"/>
        <v>1.588489338575617E-3</v>
      </c>
      <c r="W188" s="2"/>
      <c r="X188" s="6">
        <f t="shared" si="111"/>
        <v>-5745.72</v>
      </c>
      <c r="Y188" s="2"/>
      <c r="Z188" s="7">
        <f t="shared" si="112"/>
        <v>-0.83331689630166794</v>
      </c>
    </row>
    <row r="189" spans="1:26" s="24" customFormat="1" hidden="1" outlineLevel="2" x14ac:dyDescent="0.25">
      <c r="A189" s="28"/>
      <c r="B189" s="11" t="str">
        <f>CONCATENATE("          ", "6275", " - ", "SUBSCRIPTIONS")</f>
        <v xml:space="preserve">          6275 - SUBSCRIPTIONS</v>
      </c>
      <c r="C189" s="11"/>
      <c r="D189" s="6"/>
      <c r="E189" s="2"/>
      <c r="F189" s="7">
        <f t="shared" si="105"/>
        <v>0</v>
      </c>
      <c r="G189" s="2"/>
      <c r="H189" s="6">
        <v>0</v>
      </c>
      <c r="I189" s="2"/>
      <c r="J189" s="7">
        <f t="shared" si="106"/>
        <v>0</v>
      </c>
      <c r="K189" s="2"/>
      <c r="L189" s="6">
        <f t="shared" si="107"/>
        <v>0</v>
      </c>
      <c r="M189" s="2"/>
      <c r="N189" s="7">
        <f t="shared" si="108"/>
        <v>0</v>
      </c>
      <c r="O189" s="11"/>
      <c r="P189" s="6">
        <v>225.73</v>
      </c>
      <c r="Q189" s="2"/>
      <c r="R189" s="7">
        <f t="shared" si="109"/>
        <v>9.1574671032609024E-5</v>
      </c>
      <c r="S189" s="2"/>
      <c r="T189" s="6">
        <v>0</v>
      </c>
      <c r="U189" s="2"/>
      <c r="V189" s="7">
        <f t="shared" si="110"/>
        <v>0</v>
      </c>
      <c r="W189" s="2"/>
      <c r="X189" s="6">
        <f t="shared" si="111"/>
        <v>225.73</v>
      </c>
      <c r="Y189" s="2"/>
      <c r="Z189" s="7">
        <f t="shared" si="112"/>
        <v>0</v>
      </c>
    </row>
    <row r="190" spans="1:26" s="29" customFormat="1" outlineLevel="1" collapsed="1" x14ac:dyDescent="0.25">
      <c r="A190" s="27"/>
      <c r="B190" s="14" t="str">
        <f>CONCATENATE("     ","Supplies                                          ")</f>
        <v xml:space="preserve">     Supplies                                          </v>
      </c>
      <c r="C190" s="14"/>
      <c r="D190" s="1">
        <f>SUM(OSRRefD22_20x_0)</f>
        <v>14796.98</v>
      </c>
      <c r="E190" s="1"/>
      <c r="F190" s="5">
        <f t="shared" ref="F190:F199" si="113">IF(D$12=0,0,D190/D$12)</f>
        <v>0.13333896835490827</v>
      </c>
      <c r="G190" s="1"/>
      <c r="H190" s="1">
        <f>SUM(OSRRefH22_20x_0)</f>
        <v>6710</v>
      </c>
      <c r="I190" s="1"/>
      <c r="J190" s="5">
        <f t="shared" ref="J190:J199" si="114">IF(H$12=0,0,H190/H$12)</f>
        <v>1.894340410995644E-2</v>
      </c>
      <c r="K190" s="1"/>
      <c r="L190" s="1">
        <f t="shared" ref="L190:L199" si="115">+D190-H190</f>
        <v>8086.98</v>
      </c>
      <c r="M190" s="1"/>
      <c r="N190" s="5">
        <f t="shared" ref="N190:N199" si="116">IF(H190=0,0,L190/H190)</f>
        <v>1.2052131147540983</v>
      </c>
      <c r="O190" s="14"/>
      <c r="P190" s="1">
        <f>SUM(OSRRefP22_20x_0)</f>
        <v>71395.92</v>
      </c>
      <c r="Q190" s="1"/>
      <c r="R190" s="5">
        <f t="shared" ref="R190:R199" si="117">IF(P$12=0,0,P190/P$12)</f>
        <v>2.8964062761132642E-2</v>
      </c>
      <c r="S190" s="1"/>
      <c r="T190" s="1">
        <f>SUM(OSRRefT22_20x_0)</f>
        <v>95600</v>
      </c>
      <c r="U190" s="1"/>
      <c r="V190" s="5">
        <f t="shared" ref="V190:V199" si="118">IF(T$12=0,0,T190/T$12)</f>
        <v>2.2024594745152861E-2</v>
      </c>
      <c r="W190" s="1"/>
      <c r="X190" s="1">
        <f t="shared" ref="X190:X199" si="119">+P190-T190</f>
        <v>-24204.080000000002</v>
      </c>
      <c r="Y190" s="1"/>
      <c r="Z190" s="5">
        <f t="shared" ref="Z190:Z199" si="120">IF(T190=0,0,X190/T190)</f>
        <v>-0.25318075313807531</v>
      </c>
    </row>
    <row r="191" spans="1:26" s="24" customFormat="1" hidden="1" outlineLevel="2" x14ac:dyDescent="0.25">
      <c r="A191" s="28"/>
      <c r="B191" s="11" t="str">
        <f>CONCATENATE("          ", "6234", " - ", "EXPENDABLE SUPPLIES &amp; EQUIPMEN")</f>
        <v xml:space="preserve">          6234 - EXPENDABLE SUPPLIES &amp; EQUIPMEN</v>
      </c>
      <c r="C191" s="11"/>
      <c r="D191" s="6">
        <v>-550.67999999999995</v>
      </c>
      <c r="E191" s="2"/>
      <c r="F191" s="7">
        <f t="shared" si="113"/>
        <v>-4.9623033276844928E-3</v>
      </c>
      <c r="G191" s="2"/>
      <c r="H191" s="6">
        <v>150</v>
      </c>
      <c r="I191" s="2"/>
      <c r="J191" s="7">
        <f t="shared" si="114"/>
        <v>4.2347401139992036E-4</v>
      </c>
      <c r="K191" s="2"/>
      <c r="L191" s="6">
        <f t="shared" si="115"/>
        <v>-700.68</v>
      </c>
      <c r="M191" s="2"/>
      <c r="N191" s="7">
        <f t="shared" si="116"/>
        <v>-4.6711999999999998</v>
      </c>
      <c r="O191" s="11"/>
      <c r="P191" s="6">
        <v>-449.34</v>
      </c>
      <c r="Q191" s="2"/>
      <c r="R191" s="7">
        <f t="shared" si="117"/>
        <v>-1.822892955379991E-4</v>
      </c>
      <c r="S191" s="2"/>
      <c r="T191" s="6">
        <v>750</v>
      </c>
      <c r="U191" s="2"/>
      <c r="V191" s="7">
        <f t="shared" si="118"/>
        <v>1.7278709266594817E-4</v>
      </c>
      <c r="W191" s="2"/>
      <c r="X191" s="6">
        <f t="shared" si="119"/>
        <v>-1199.3399999999999</v>
      </c>
      <c r="Y191" s="2"/>
      <c r="Z191" s="7">
        <f t="shared" si="120"/>
        <v>-1.5991199999999999</v>
      </c>
    </row>
    <row r="192" spans="1:26" s="24" customFormat="1" hidden="1" outlineLevel="2" x14ac:dyDescent="0.25">
      <c r="A192" s="28"/>
      <c r="B192" s="11" t="str">
        <f>CONCATENATE("          ", "6235", " - ", "COVID-19 EXPENSES")</f>
        <v xml:space="preserve">          6235 - COVID-19 EXPENSES</v>
      </c>
      <c r="C192" s="11"/>
      <c r="D192" s="6">
        <v>2556.84</v>
      </c>
      <c r="E192" s="2"/>
      <c r="F192" s="7">
        <f t="shared" si="113"/>
        <v>2.3040269558285791E-2</v>
      </c>
      <c r="G192" s="2"/>
      <c r="H192" s="6">
        <v>500</v>
      </c>
      <c r="I192" s="2"/>
      <c r="J192" s="7">
        <f t="shared" si="114"/>
        <v>1.4115800379997346E-3</v>
      </c>
      <c r="K192" s="2"/>
      <c r="L192" s="6">
        <f t="shared" si="115"/>
        <v>2056.84</v>
      </c>
      <c r="M192" s="2"/>
      <c r="N192" s="7">
        <f t="shared" si="116"/>
        <v>4.1136800000000004</v>
      </c>
      <c r="O192" s="11"/>
      <c r="P192" s="6">
        <v>28456.63</v>
      </c>
      <c r="Q192" s="2"/>
      <c r="R192" s="7">
        <f t="shared" si="117"/>
        <v>1.1544351796157679E-2</v>
      </c>
      <c r="S192" s="2"/>
      <c r="T192" s="6">
        <v>62100</v>
      </c>
      <c r="U192" s="2"/>
      <c r="V192" s="7">
        <f t="shared" si="118"/>
        <v>1.430677127274051E-2</v>
      </c>
      <c r="W192" s="2"/>
      <c r="X192" s="6">
        <f t="shared" si="119"/>
        <v>-33643.369999999995</v>
      </c>
      <c r="Y192" s="2"/>
      <c r="Z192" s="7">
        <f t="shared" si="120"/>
        <v>-0.5417611916264089</v>
      </c>
    </row>
    <row r="193" spans="1:26" s="24" customFormat="1" hidden="1" outlineLevel="2" x14ac:dyDescent="0.25">
      <c r="A193" s="28"/>
      <c r="B193" s="11" t="str">
        <f>CONCATENATE("          ", "6237", " - ", "JANITORIAL SUPPLIES")</f>
        <v xml:space="preserve">          6237 - JANITORIAL SUPPLIES</v>
      </c>
      <c r="C193" s="11"/>
      <c r="D193" s="6">
        <v>246.99</v>
      </c>
      <c r="E193" s="2"/>
      <c r="F193" s="7">
        <f t="shared" si="113"/>
        <v>2.22568333497638E-3</v>
      </c>
      <c r="G193" s="2"/>
      <c r="H193" s="6">
        <v>260</v>
      </c>
      <c r="I193" s="2"/>
      <c r="J193" s="7">
        <f t="shared" si="114"/>
        <v>7.3402161975986199E-4</v>
      </c>
      <c r="K193" s="2"/>
      <c r="L193" s="6">
        <f t="shared" si="115"/>
        <v>-13.009999999999991</v>
      </c>
      <c r="M193" s="2"/>
      <c r="N193" s="7">
        <f t="shared" si="116"/>
        <v>-5.0038461538461504E-2</v>
      </c>
      <c r="O193" s="11"/>
      <c r="P193" s="6">
        <v>1495.35</v>
      </c>
      <c r="Q193" s="2"/>
      <c r="R193" s="7">
        <f t="shared" si="117"/>
        <v>6.0663706343247199E-4</v>
      </c>
      <c r="S193" s="2"/>
      <c r="T193" s="6">
        <v>1350</v>
      </c>
      <c r="U193" s="2"/>
      <c r="V193" s="7">
        <f t="shared" si="118"/>
        <v>3.1101676679870673E-4</v>
      </c>
      <c r="W193" s="2"/>
      <c r="X193" s="6">
        <f t="shared" si="119"/>
        <v>145.34999999999991</v>
      </c>
      <c r="Y193" s="2"/>
      <c r="Z193" s="7">
        <f t="shared" si="120"/>
        <v>0.10766666666666661</v>
      </c>
    </row>
    <row r="194" spans="1:26" s="24" customFormat="1" hidden="1" outlineLevel="2" x14ac:dyDescent="0.25">
      <c r="A194" s="28"/>
      <c r="B194" s="11" t="str">
        <f>CONCATENATE("          ", "6241", " - ", "OFFICE EXPENSE")</f>
        <v xml:space="preserve">          6241 - OFFICE EXPENSE</v>
      </c>
      <c r="C194" s="11"/>
      <c r="D194" s="6">
        <v>669.18</v>
      </c>
      <c r="E194" s="2"/>
      <c r="F194" s="7">
        <f t="shared" si="113"/>
        <v>6.0301339086582207E-3</v>
      </c>
      <c r="G194" s="2"/>
      <c r="H194" s="6">
        <v>425</v>
      </c>
      <c r="I194" s="2"/>
      <c r="J194" s="7">
        <f t="shared" si="114"/>
        <v>1.1998430322997745E-3</v>
      </c>
      <c r="K194" s="2"/>
      <c r="L194" s="6">
        <f t="shared" si="115"/>
        <v>244.17999999999995</v>
      </c>
      <c r="M194" s="2"/>
      <c r="N194" s="7">
        <f t="shared" si="116"/>
        <v>0.57454117647058811</v>
      </c>
      <c r="O194" s="11"/>
      <c r="P194" s="6">
        <v>8478.86</v>
      </c>
      <c r="Q194" s="2"/>
      <c r="R194" s="7">
        <f t="shared" si="117"/>
        <v>3.4397236310262144E-3</v>
      </c>
      <c r="S194" s="2"/>
      <c r="T194" s="6">
        <v>2425</v>
      </c>
      <c r="U194" s="2"/>
      <c r="V194" s="7">
        <f t="shared" si="118"/>
        <v>5.5867826628656578E-4</v>
      </c>
      <c r="W194" s="2"/>
      <c r="X194" s="6">
        <f t="shared" si="119"/>
        <v>6053.8600000000006</v>
      </c>
      <c r="Y194" s="2"/>
      <c r="Z194" s="7">
        <f t="shared" si="120"/>
        <v>2.4964371134020622</v>
      </c>
    </row>
    <row r="195" spans="1:26" s="24" customFormat="1" hidden="1" outlineLevel="2" x14ac:dyDescent="0.25">
      <c r="A195" s="28"/>
      <c r="B195" s="11" t="str">
        <f>CONCATENATE("          ", "6243", " - ", "PAPER SUPPLIES")</f>
        <v xml:space="preserve">          6243 - PAPER SUPPLIES</v>
      </c>
      <c r="C195" s="11"/>
      <c r="D195" s="6">
        <v>1108.5999999999999</v>
      </c>
      <c r="E195" s="2"/>
      <c r="F195" s="7">
        <f t="shared" si="113"/>
        <v>9.9898479499364937E-3</v>
      </c>
      <c r="G195" s="2"/>
      <c r="H195" s="6">
        <v>1050</v>
      </c>
      <c r="I195" s="2"/>
      <c r="J195" s="7">
        <f t="shared" si="114"/>
        <v>2.9643180797994427E-3</v>
      </c>
      <c r="K195" s="2"/>
      <c r="L195" s="6">
        <f t="shared" si="115"/>
        <v>58.599999999999909</v>
      </c>
      <c r="M195" s="2"/>
      <c r="N195" s="7">
        <f t="shared" si="116"/>
        <v>5.5809523809523726E-2</v>
      </c>
      <c r="O195" s="11"/>
      <c r="P195" s="6">
        <v>4682.3</v>
      </c>
      <c r="Q195" s="2"/>
      <c r="R195" s="7">
        <f t="shared" si="117"/>
        <v>1.8995263464137919E-3</v>
      </c>
      <c r="S195" s="2"/>
      <c r="T195" s="6">
        <v>5350</v>
      </c>
      <c r="U195" s="2"/>
      <c r="V195" s="7">
        <f t="shared" si="118"/>
        <v>1.2325479276837636E-3</v>
      </c>
      <c r="W195" s="2"/>
      <c r="X195" s="6">
        <f t="shared" si="119"/>
        <v>-667.69999999999982</v>
      </c>
      <c r="Y195" s="2"/>
      <c r="Z195" s="7">
        <f t="shared" si="120"/>
        <v>-0.12480373831775697</v>
      </c>
    </row>
    <row r="196" spans="1:26" s="24" customFormat="1" hidden="1" outlineLevel="2" x14ac:dyDescent="0.25">
      <c r="A196" s="28"/>
      <c r="B196" s="11" t="str">
        <f>CONCATENATE("          ", "6244", " - ", "SAFETY SUPPLY EXPENSE")</f>
        <v xml:space="preserve">          6244 - SAFETY SUPPLY EXPENSE</v>
      </c>
      <c r="C196" s="11"/>
      <c r="D196" s="6"/>
      <c r="E196" s="2"/>
      <c r="F196" s="7">
        <f t="shared" si="113"/>
        <v>0</v>
      </c>
      <c r="G196" s="2"/>
      <c r="H196" s="6">
        <v>0</v>
      </c>
      <c r="I196" s="2"/>
      <c r="J196" s="7">
        <f t="shared" si="114"/>
        <v>0</v>
      </c>
      <c r="K196" s="2"/>
      <c r="L196" s="6">
        <f t="shared" si="115"/>
        <v>0</v>
      </c>
      <c r="M196" s="2"/>
      <c r="N196" s="7">
        <f t="shared" si="116"/>
        <v>0</v>
      </c>
      <c r="O196" s="11"/>
      <c r="P196" s="6"/>
      <c r="Q196" s="2"/>
      <c r="R196" s="7">
        <f t="shared" si="117"/>
        <v>0</v>
      </c>
      <c r="S196" s="2"/>
      <c r="T196" s="6">
        <v>50</v>
      </c>
      <c r="U196" s="2"/>
      <c r="V196" s="7">
        <f t="shared" si="118"/>
        <v>1.1519139511063212E-5</v>
      </c>
      <c r="W196" s="2"/>
      <c r="X196" s="6">
        <f t="shared" si="119"/>
        <v>-50</v>
      </c>
      <c r="Y196" s="2"/>
      <c r="Z196" s="7">
        <f t="shared" si="120"/>
        <v>-1</v>
      </c>
    </row>
    <row r="197" spans="1:26" s="24" customFormat="1" hidden="1" outlineLevel="2" x14ac:dyDescent="0.25">
      <c r="A197" s="28"/>
      <c r="B197" s="11" t="str">
        <f>CONCATENATE("          ", "6245", " - ", "PRINTING")</f>
        <v xml:space="preserve">          6245 - PRINTING</v>
      </c>
      <c r="C197" s="11"/>
      <c r="D197" s="6">
        <v>93.72</v>
      </c>
      <c r="E197" s="2"/>
      <c r="F197" s="7">
        <f t="shared" si="113"/>
        <v>8.4453233796504446E-4</v>
      </c>
      <c r="G197" s="2"/>
      <c r="H197" s="6">
        <v>350</v>
      </c>
      <c r="I197" s="2"/>
      <c r="J197" s="7">
        <f t="shared" si="114"/>
        <v>9.8810602659981425E-4</v>
      </c>
      <c r="K197" s="2"/>
      <c r="L197" s="6">
        <f t="shared" si="115"/>
        <v>-256.27999999999997</v>
      </c>
      <c r="M197" s="2"/>
      <c r="N197" s="7">
        <f t="shared" si="116"/>
        <v>-0.73222857142857134</v>
      </c>
      <c r="O197" s="11"/>
      <c r="P197" s="6">
        <v>508.27</v>
      </c>
      <c r="Q197" s="2"/>
      <c r="R197" s="7">
        <f t="shared" si="117"/>
        <v>2.0619615490074066E-4</v>
      </c>
      <c r="S197" s="2"/>
      <c r="T197" s="6">
        <v>2150</v>
      </c>
      <c r="U197" s="2"/>
      <c r="V197" s="7">
        <f t="shared" si="118"/>
        <v>4.9532299897571809E-4</v>
      </c>
      <c r="W197" s="2"/>
      <c r="X197" s="6">
        <f t="shared" si="119"/>
        <v>-1641.73</v>
      </c>
      <c r="Y197" s="2"/>
      <c r="Z197" s="7">
        <f t="shared" si="120"/>
        <v>-0.76359534883720936</v>
      </c>
    </row>
    <row r="198" spans="1:26" s="24" customFormat="1" hidden="1" outlineLevel="2" x14ac:dyDescent="0.25">
      <c r="A198" s="28"/>
      <c r="B198" s="11" t="str">
        <f>CONCATENATE("          ", "6247", " - ", "STORE SUPPLIES")</f>
        <v xml:space="preserve">          6247 - STORE SUPPLIES</v>
      </c>
      <c r="C198" s="11"/>
      <c r="D198" s="6">
        <v>10672.33</v>
      </c>
      <c r="E198" s="2"/>
      <c r="F198" s="7">
        <f t="shared" si="113"/>
        <v>9.6170804592770845E-2</v>
      </c>
      <c r="G198" s="2"/>
      <c r="H198" s="6">
        <v>2475</v>
      </c>
      <c r="I198" s="2"/>
      <c r="J198" s="7">
        <f t="shared" si="114"/>
        <v>6.9873211880986863E-3</v>
      </c>
      <c r="K198" s="2"/>
      <c r="L198" s="6">
        <f t="shared" si="115"/>
        <v>8197.33</v>
      </c>
      <c r="M198" s="2"/>
      <c r="N198" s="7">
        <f t="shared" si="116"/>
        <v>3.312052525252525</v>
      </c>
      <c r="O198" s="11"/>
      <c r="P198" s="6">
        <v>28223.85</v>
      </c>
      <c r="Q198" s="2"/>
      <c r="R198" s="7">
        <f t="shared" si="117"/>
        <v>1.1449917064739742E-2</v>
      </c>
      <c r="S198" s="2"/>
      <c r="T198" s="6">
        <v>13825</v>
      </c>
      <c r="U198" s="2"/>
      <c r="V198" s="7">
        <f t="shared" si="118"/>
        <v>3.1850420748089779E-3</v>
      </c>
      <c r="W198" s="2"/>
      <c r="X198" s="6">
        <f t="shared" si="119"/>
        <v>14398.849999999999</v>
      </c>
      <c r="Y198" s="2"/>
      <c r="Z198" s="7">
        <f t="shared" si="120"/>
        <v>1.041508137432188</v>
      </c>
    </row>
    <row r="199" spans="1:26" s="24" customFormat="1" hidden="1" outlineLevel="2" x14ac:dyDescent="0.25">
      <c r="A199" s="28"/>
      <c r="B199" s="11" t="str">
        <f>CONCATENATE("          ", "6248", " - ", "UNIFORMS")</f>
        <v xml:space="preserve">          6248 - UNIFORMS</v>
      </c>
      <c r="C199" s="11"/>
      <c r="D199" s="6"/>
      <c r="E199" s="2"/>
      <c r="F199" s="7">
        <f t="shared" si="113"/>
        <v>0</v>
      </c>
      <c r="G199" s="2"/>
      <c r="H199" s="6">
        <v>1500</v>
      </c>
      <c r="I199" s="2"/>
      <c r="J199" s="7">
        <f t="shared" si="114"/>
        <v>4.234740113999204E-3</v>
      </c>
      <c r="K199" s="2"/>
      <c r="L199" s="6">
        <f t="shared" si="115"/>
        <v>-1500</v>
      </c>
      <c r="M199" s="2"/>
      <c r="N199" s="7">
        <f t="shared" si="116"/>
        <v>-1</v>
      </c>
      <c r="O199" s="11"/>
      <c r="P199" s="6"/>
      <c r="Q199" s="2"/>
      <c r="R199" s="7">
        <f t="shared" si="117"/>
        <v>0</v>
      </c>
      <c r="S199" s="2"/>
      <c r="T199" s="6">
        <v>7600</v>
      </c>
      <c r="U199" s="2"/>
      <c r="V199" s="7">
        <f t="shared" si="118"/>
        <v>1.7509092056816082E-3</v>
      </c>
      <c r="W199" s="2"/>
      <c r="X199" s="6">
        <f t="shared" si="119"/>
        <v>-7600</v>
      </c>
      <c r="Y199" s="2"/>
      <c r="Z199" s="7">
        <f t="shared" si="120"/>
        <v>-1</v>
      </c>
    </row>
    <row r="200" spans="1:26" s="29" customFormat="1" outlineLevel="1" collapsed="1" x14ac:dyDescent="0.25">
      <c r="A200" s="27"/>
      <c r="B200" s="14" t="str">
        <f>CONCATENATE("     ","Telephone/Data Lines                              ")</f>
        <v xml:space="preserve">     Telephone/Data Lines                              </v>
      </c>
      <c r="C200" s="14"/>
      <c r="D200" s="1">
        <f>SUM(OSRRefD22_21x_0)</f>
        <v>2676.5299999999997</v>
      </c>
      <c r="E200" s="1"/>
      <c r="F200" s="5">
        <f t="shared" ref="F200:F202" si="121">IF(D$12=0,0,D200/D$12)</f>
        <v>2.411882350121191E-2</v>
      </c>
      <c r="G200" s="1"/>
      <c r="H200" s="1">
        <f>SUM(OSRRefH22_21x_0)</f>
        <v>2295</v>
      </c>
      <c r="I200" s="1"/>
      <c r="J200" s="5">
        <f t="shared" ref="J200:J202" si="122">IF(H$12=0,0,H200/H$12)</f>
        <v>6.4791523744187817E-3</v>
      </c>
      <c r="K200" s="1"/>
      <c r="L200" s="1">
        <f t="shared" ref="L200:L202" si="123">+D200-H200</f>
        <v>381.52999999999975</v>
      </c>
      <c r="M200" s="1"/>
      <c r="N200" s="5">
        <f t="shared" ref="N200:N202" si="124">IF(H200=0,0,L200/H200)</f>
        <v>0.16624400871459685</v>
      </c>
      <c r="O200" s="14"/>
      <c r="P200" s="1">
        <f>SUM(OSRRefP22_21x_0)</f>
        <v>13056.65</v>
      </c>
      <c r="Q200" s="1"/>
      <c r="R200" s="5">
        <f t="shared" ref="R200:R202" si="125">IF(P$12=0,0,P200/P$12)</f>
        <v>5.2968521177420569E-3</v>
      </c>
      <c r="S200" s="1"/>
      <c r="T200" s="1">
        <f>SUM(OSRRefT22_21x_0)</f>
        <v>12975</v>
      </c>
      <c r="U200" s="1"/>
      <c r="V200" s="5">
        <f t="shared" ref="V200:V202" si="126">IF(T$12=0,0,T200/T$12)</f>
        <v>2.9892167031209033E-3</v>
      </c>
      <c r="W200" s="1"/>
      <c r="X200" s="1">
        <f t="shared" ref="X200:X202" si="127">+P200-T200</f>
        <v>81.649999999999636</v>
      </c>
      <c r="Y200" s="1"/>
      <c r="Z200" s="5">
        <f t="shared" ref="Z200:Z202" si="128">IF(T200=0,0,X200/T200)</f>
        <v>6.2928709055876404E-3</v>
      </c>
    </row>
    <row r="201" spans="1:26" s="24" customFormat="1" hidden="1" outlineLevel="2" x14ac:dyDescent="0.25">
      <c r="A201" s="28"/>
      <c r="B201" s="11" t="str">
        <f>CONCATENATE("          ", "6303", " - ", "DATA PHONE LINES")</f>
        <v xml:space="preserve">          6303 - DATA PHONE LINES</v>
      </c>
      <c r="C201" s="11"/>
      <c r="D201" s="6">
        <v>885</v>
      </c>
      <c r="E201" s="2"/>
      <c r="F201" s="7">
        <f t="shared" si="121"/>
        <v>7.9749372503101195E-3</v>
      </c>
      <c r="G201" s="2"/>
      <c r="H201" s="6">
        <v>630</v>
      </c>
      <c r="I201" s="2"/>
      <c r="J201" s="7">
        <f t="shared" si="122"/>
        <v>1.7785908478796656E-3</v>
      </c>
      <c r="K201" s="2"/>
      <c r="L201" s="6">
        <f t="shared" si="123"/>
        <v>255</v>
      </c>
      <c r="M201" s="2"/>
      <c r="N201" s="7">
        <f t="shared" si="124"/>
        <v>0.40476190476190477</v>
      </c>
      <c r="O201" s="11"/>
      <c r="P201" s="6">
        <v>2065</v>
      </c>
      <c r="Q201" s="2"/>
      <c r="R201" s="7">
        <f t="shared" si="125"/>
        <v>8.3773399939014595E-4</v>
      </c>
      <c r="S201" s="2"/>
      <c r="T201" s="6">
        <v>3150</v>
      </c>
      <c r="U201" s="2"/>
      <c r="V201" s="7">
        <f t="shared" si="126"/>
        <v>7.2570578919698239E-4</v>
      </c>
      <c r="W201" s="2"/>
      <c r="X201" s="6">
        <f t="shared" si="127"/>
        <v>-1085</v>
      </c>
      <c r="Y201" s="2"/>
      <c r="Z201" s="7">
        <f t="shared" si="128"/>
        <v>-0.34444444444444444</v>
      </c>
    </row>
    <row r="202" spans="1:26" s="24" customFormat="1" hidden="1" outlineLevel="2" x14ac:dyDescent="0.25">
      <c r="A202" s="28"/>
      <c r="B202" s="11" t="str">
        <f>CONCATENATE("          ", "6309", " - ", "TELEPHONE")</f>
        <v xml:space="preserve">          6309 - TELEPHONE</v>
      </c>
      <c r="C202" s="11"/>
      <c r="D202" s="6">
        <v>1791.53</v>
      </c>
      <c r="E202" s="2"/>
      <c r="F202" s="7">
        <f t="shared" si="121"/>
        <v>1.6143886250901792E-2</v>
      </c>
      <c r="G202" s="2"/>
      <c r="H202" s="6">
        <v>1665</v>
      </c>
      <c r="I202" s="2"/>
      <c r="J202" s="7">
        <f t="shared" si="122"/>
        <v>4.7005615265391159E-3</v>
      </c>
      <c r="K202" s="2"/>
      <c r="L202" s="6">
        <f t="shared" si="123"/>
        <v>126.52999999999997</v>
      </c>
      <c r="M202" s="2"/>
      <c r="N202" s="7">
        <f t="shared" si="124"/>
        <v>7.599399399399398E-2</v>
      </c>
      <c r="O202" s="11"/>
      <c r="P202" s="6">
        <v>10991.65</v>
      </c>
      <c r="Q202" s="2"/>
      <c r="R202" s="7">
        <f t="shared" si="125"/>
        <v>4.4591181183519114E-3</v>
      </c>
      <c r="S202" s="2"/>
      <c r="T202" s="6">
        <v>9825</v>
      </c>
      <c r="U202" s="2"/>
      <c r="V202" s="7">
        <f t="shared" si="126"/>
        <v>2.2635109139239212E-3</v>
      </c>
      <c r="W202" s="2"/>
      <c r="X202" s="6">
        <f t="shared" si="127"/>
        <v>1166.6499999999996</v>
      </c>
      <c r="Y202" s="2"/>
      <c r="Z202" s="7">
        <f t="shared" si="128"/>
        <v>0.11874300254452923</v>
      </c>
    </row>
    <row r="203" spans="1:26" s="29" customFormat="1" outlineLevel="1" collapsed="1" x14ac:dyDescent="0.25">
      <c r="A203" s="27"/>
      <c r="B203" s="14" t="str">
        <f>CONCATENATE("     ","Training                                          ")</f>
        <v xml:space="preserve">     Training                                          </v>
      </c>
      <c r="C203" s="14"/>
      <c r="D203" s="1">
        <f>SUM(OSRRefD22_22x_0)</f>
        <v>0</v>
      </c>
      <c r="E203" s="1"/>
      <c r="F203" s="5">
        <f t="shared" ref="F203:F208" si="129">IF(D$12=0,0,D203/D$12)</f>
        <v>0</v>
      </c>
      <c r="G203" s="1"/>
      <c r="H203" s="1">
        <f>SUM(OSRRefH22_22x_0)</f>
        <v>750</v>
      </c>
      <c r="I203" s="1"/>
      <c r="J203" s="5">
        <f t="shared" ref="J203:J208" si="130">IF(H$12=0,0,H203/H$12)</f>
        <v>2.117370056999602E-3</v>
      </c>
      <c r="K203" s="1"/>
      <c r="L203" s="1">
        <f t="shared" ref="L203:L208" si="131">+D203-H203</f>
        <v>-750</v>
      </c>
      <c r="M203" s="1"/>
      <c r="N203" s="5">
        <f t="shared" ref="N203:N208" si="132">IF(H203=0,0,L203/H203)</f>
        <v>-1</v>
      </c>
      <c r="O203" s="14"/>
      <c r="P203" s="1">
        <f>SUM(OSRRefP22_22x_0)</f>
        <v>145.63</v>
      </c>
      <c r="Q203" s="1"/>
      <c r="R203" s="5">
        <f t="shared" ref="R203:R208" si="133">IF(P$12=0,0,P203/P$12)</f>
        <v>5.9079516867402876E-5</v>
      </c>
      <c r="S203" s="1"/>
      <c r="T203" s="1">
        <f>SUM(OSRRefT22_22x_0)</f>
        <v>3310</v>
      </c>
      <c r="U203" s="1"/>
      <c r="V203" s="5">
        <f t="shared" ref="V203:V208" si="134">IF(T$12=0,0,T203/T$12)</f>
        <v>7.6256703563238465E-4</v>
      </c>
      <c r="W203" s="1"/>
      <c r="X203" s="1">
        <f t="shared" ref="X203:X208" si="135">+P203-T203</f>
        <v>-3164.37</v>
      </c>
      <c r="Y203" s="1"/>
      <c r="Z203" s="5">
        <f t="shared" ref="Z203:Z208" si="136">IF(T203=0,0,X203/T203)</f>
        <v>-0.95600302114803626</v>
      </c>
    </row>
    <row r="204" spans="1:26" s="24" customFormat="1" hidden="1" outlineLevel="2" x14ac:dyDescent="0.25">
      <c r="A204" s="28"/>
      <c r="B204" s="11" t="str">
        <f>CONCATENATE("          ", "6376", " - ", "TRAINING")</f>
        <v xml:space="preserve">          6376 - TRAINING</v>
      </c>
      <c r="C204" s="11"/>
      <c r="D204" s="6"/>
      <c r="E204" s="2"/>
      <c r="F204" s="7">
        <f t="shared" si="129"/>
        <v>0</v>
      </c>
      <c r="G204" s="2"/>
      <c r="H204" s="6">
        <v>750</v>
      </c>
      <c r="I204" s="2"/>
      <c r="J204" s="7">
        <f t="shared" si="130"/>
        <v>2.117370056999602E-3</v>
      </c>
      <c r="K204" s="2"/>
      <c r="L204" s="6">
        <f t="shared" si="131"/>
        <v>-750</v>
      </c>
      <c r="M204" s="2"/>
      <c r="N204" s="7">
        <f t="shared" si="132"/>
        <v>-1</v>
      </c>
      <c r="O204" s="11"/>
      <c r="P204" s="6">
        <v>145.63</v>
      </c>
      <c r="Q204" s="2"/>
      <c r="R204" s="7">
        <f t="shared" si="133"/>
        <v>5.9079516867402876E-5</v>
      </c>
      <c r="S204" s="2"/>
      <c r="T204" s="6">
        <v>3310</v>
      </c>
      <c r="U204" s="2"/>
      <c r="V204" s="7">
        <f t="shared" si="134"/>
        <v>7.6256703563238465E-4</v>
      </c>
      <c r="W204" s="2"/>
      <c r="X204" s="6">
        <f t="shared" si="135"/>
        <v>-3164.37</v>
      </c>
      <c r="Y204" s="2"/>
      <c r="Z204" s="7">
        <f t="shared" si="136"/>
        <v>-0.95600302114803626</v>
      </c>
    </row>
    <row r="205" spans="1:26" s="29" customFormat="1" outlineLevel="1" collapsed="1" x14ac:dyDescent="0.25">
      <c r="A205" s="27"/>
      <c r="B205" s="14" t="str">
        <f>CONCATENATE("     ","Travel                                            ")</f>
        <v xml:space="preserve">     Travel                                            </v>
      </c>
      <c r="C205" s="14"/>
      <c r="D205" s="1">
        <f>SUM(OSRRefD22_23x_0)</f>
        <v>299</v>
      </c>
      <c r="E205" s="1"/>
      <c r="F205" s="5">
        <f t="shared" si="129"/>
        <v>2.6943573308957349E-3</v>
      </c>
      <c r="G205" s="1"/>
      <c r="H205" s="1">
        <f>SUM(OSRRefH22_23x_0)</f>
        <v>50</v>
      </c>
      <c r="I205" s="1"/>
      <c r="J205" s="5">
        <f t="shared" si="130"/>
        <v>1.4115800379997347E-4</v>
      </c>
      <c r="K205" s="1"/>
      <c r="L205" s="1">
        <f t="shared" si="131"/>
        <v>249</v>
      </c>
      <c r="M205" s="1"/>
      <c r="N205" s="5">
        <f t="shared" si="132"/>
        <v>4.9800000000000004</v>
      </c>
      <c r="O205" s="14"/>
      <c r="P205" s="1">
        <f>SUM(OSRRefP22_23x_0)</f>
        <v>680.93</v>
      </c>
      <c r="Q205" s="1"/>
      <c r="R205" s="5">
        <f t="shared" si="133"/>
        <v>2.76241264990185E-4</v>
      </c>
      <c r="S205" s="1"/>
      <c r="T205" s="1">
        <f>SUM(OSRRefT22_23x_0)</f>
        <v>250</v>
      </c>
      <c r="U205" s="1"/>
      <c r="V205" s="5">
        <f t="shared" si="134"/>
        <v>5.7595697555316061E-5</v>
      </c>
      <c r="W205" s="1"/>
      <c r="X205" s="1">
        <f t="shared" si="135"/>
        <v>430.92999999999995</v>
      </c>
      <c r="Y205" s="1"/>
      <c r="Z205" s="5">
        <f t="shared" si="136"/>
        <v>1.7237199999999997</v>
      </c>
    </row>
    <row r="206" spans="1:26" s="24" customFormat="1" hidden="1" outlineLevel="2" x14ac:dyDescent="0.25">
      <c r="A206" s="28"/>
      <c r="B206" s="11" t="str">
        <f>CONCATENATE("          ", "6292", " - ", "TRAVEL/CONFERENCE")</f>
        <v xml:space="preserve">          6292 - TRAVEL/CONFERENCE</v>
      </c>
      <c r="C206" s="11"/>
      <c r="D206" s="6">
        <v>299</v>
      </c>
      <c r="E206" s="2"/>
      <c r="F206" s="7">
        <f t="shared" si="129"/>
        <v>2.6943573308957349E-3</v>
      </c>
      <c r="G206" s="2"/>
      <c r="H206" s="6">
        <v>0</v>
      </c>
      <c r="I206" s="2"/>
      <c r="J206" s="7">
        <f t="shared" si="130"/>
        <v>0</v>
      </c>
      <c r="K206" s="2"/>
      <c r="L206" s="6">
        <f t="shared" si="131"/>
        <v>299</v>
      </c>
      <c r="M206" s="2"/>
      <c r="N206" s="7">
        <f t="shared" si="132"/>
        <v>0</v>
      </c>
      <c r="O206" s="11"/>
      <c r="P206" s="6">
        <v>299.16000000000003</v>
      </c>
      <c r="Q206" s="2"/>
      <c r="R206" s="7">
        <f t="shared" si="133"/>
        <v>1.213639240956688E-4</v>
      </c>
      <c r="S206" s="2"/>
      <c r="T206" s="6">
        <v>0</v>
      </c>
      <c r="U206" s="2"/>
      <c r="V206" s="7">
        <f t="shared" si="134"/>
        <v>0</v>
      </c>
      <c r="W206" s="2"/>
      <c r="X206" s="6">
        <f t="shared" si="135"/>
        <v>299.16000000000003</v>
      </c>
      <c r="Y206" s="2"/>
      <c r="Z206" s="7">
        <f t="shared" si="136"/>
        <v>0</v>
      </c>
    </row>
    <row r="207" spans="1:26" s="24" customFormat="1" hidden="1" outlineLevel="2" x14ac:dyDescent="0.25">
      <c r="A207" s="28"/>
      <c r="B207" s="11" t="str">
        <f>CONCATENATE("          ", "6294", " - ", "TRAVEL OPERATIONAL")</f>
        <v xml:space="preserve">          6294 - TRAVEL OPERATIONAL</v>
      </c>
      <c r="C207" s="11"/>
      <c r="D207" s="6"/>
      <c r="E207" s="2"/>
      <c r="F207" s="7">
        <f t="shared" si="129"/>
        <v>0</v>
      </c>
      <c r="G207" s="2"/>
      <c r="H207" s="6">
        <v>25</v>
      </c>
      <c r="I207" s="2"/>
      <c r="J207" s="7">
        <f t="shared" si="130"/>
        <v>7.0579001899986736E-5</v>
      </c>
      <c r="K207" s="2"/>
      <c r="L207" s="6">
        <f t="shared" si="131"/>
        <v>-25</v>
      </c>
      <c r="M207" s="2"/>
      <c r="N207" s="7">
        <f t="shared" si="132"/>
        <v>-1</v>
      </c>
      <c r="O207" s="11"/>
      <c r="P207" s="6">
        <v>321.88</v>
      </c>
      <c r="Q207" s="2"/>
      <c r="R207" s="7">
        <f t="shared" si="133"/>
        <v>1.3058102650058119E-4</v>
      </c>
      <c r="S207" s="2"/>
      <c r="T207" s="6">
        <v>125</v>
      </c>
      <c r="U207" s="2"/>
      <c r="V207" s="7">
        <f t="shared" si="134"/>
        <v>2.879784877765803E-5</v>
      </c>
      <c r="W207" s="2"/>
      <c r="X207" s="6">
        <f t="shared" si="135"/>
        <v>196.88</v>
      </c>
      <c r="Y207" s="2"/>
      <c r="Z207" s="7">
        <f t="shared" si="136"/>
        <v>1.57504</v>
      </c>
    </row>
    <row r="208" spans="1:26" s="24" customFormat="1" hidden="1" outlineLevel="2" x14ac:dyDescent="0.25">
      <c r="A208" s="28"/>
      <c r="B208" s="11" t="str">
        <f>CONCATENATE("          ", "6298", " - ", "VEHICLE MILEAGE")</f>
        <v xml:space="preserve">          6298 - VEHICLE MILEAGE</v>
      </c>
      <c r="C208" s="11"/>
      <c r="D208" s="6"/>
      <c r="E208" s="2"/>
      <c r="F208" s="7">
        <f t="shared" si="129"/>
        <v>0</v>
      </c>
      <c r="G208" s="2"/>
      <c r="H208" s="6">
        <v>25</v>
      </c>
      <c r="I208" s="2"/>
      <c r="J208" s="7">
        <f t="shared" si="130"/>
        <v>7.0579001899986736E-5</v>
      </c>
      <c r="K208" s="2"/>
      <c r="L208" s="6">
        <f t="shared" si="131"/>
        <v>-25</v>
      </c>
      <c r="M208" s="2"/>
      <c r="N208" s="7">
        <f t="shared" si="132"/>
        <v>-1</v>
      </c>
      <c r="O208" s="11"/>
      <c r="P208" s="6">
        <v>59.89</v>
      </c>
      <c r="Q208" s="2"/>
      <c r="R208" s="7">
        <f t="shared" si="133"/>
        <v>2.4296314393935032E-5</v>
      </c>
      <c r="S208" s="2"/>
      <c r="T208" s="6">
        <v>125</v>
      </c>
      <c r="U208" s="2"/>
      <c r="V208" s="7">
        <f t="shared" si="134"/>
        <v>2.879784877765803E-5</v>
      </c>
      <c r="W208" s="2"/>
      <c r="X208" s="6">
        <f t="shared" si="135"/>
        <v>-65.11</v>
      </c>
      <c r="Y208" s="2"/>
      <c r="Z208" s="7">
        <f t="shared" si="136"/>
        <v>-0.52088000000000001</v>
      </c>
    </row>
    <row r="209" spans="1:26" s="29" customFormat="1" outlineLevel="1" collapsed="1" x14ac:dyDescent="0.25">
      <c r="A209" s="27"/>
      <c r="B209" s="14" t="str">
        <f>CONCATENATE("     ","Utilities                                         ")</f>
        <v xml:space="preserve">     Utilities                                         </v>
      </c>
      <c r="C209" s="14"/>
      <c r="D209" s="1">
        <f>SUM(OSRRefD22_24x_0)</f>
        <v>6150.38</v>
      </c>
      <c r="E209" s="1"/>
      <c r="F209" s="5">
        <f t="shared" ref="F209:F210" si="137">IF(D$12=0,0,D209/D$12)</f>
        <v>5.5422479735098701E-2</v>
      </c>
      <c r="G209" s="1"/>
      <c r="H209" s="1">
        <f>SUM(OSRRefH22_24x_0)</f>
        <v>6105</v>
      </c>
      <c r="I209" s="1"/>
      <c r="J209" s="5">
        <f t="shared" ref="J209:J210" si="138">IF(H$12=0,0,H209/H$12)</f>
        <v>1.7235392263976759E-2</v>
      </c>
      <c r="K209" s="1"/>
      <c r="L209" s="1">
        <f t="shared" ref="L209:L210" si="139">+D209-H209</f>
        <v>45.380000000000109</v>
      </c>
      <c r="M209" s="1"/>
      <c r="N209" s="5">
        <f t="shared" ref="N209:N210" si="140">IF(H209=0,0,L209/H209)</f>
        <v>7.4332514332514513E-3</v>
      </c>
      <c r="O209" s="14"/>
      <c r="P209" s="1">
        <f>SUM(OSRRefP22_24x_0)</f>
        <v>30585.809999999998</v>
      </c>
      <c r="Q209" s="1"/>
      <c r="R209" s="5">
        <f t="shared" ref="R209:R210" si="141">IF(P$12=0,0,P209/P$12)</f>
        <v>1.2408122487112405E-2</v>
      </c>
      <c r="S209" s="1"/>
      <c r="T209" s="1">
        <f>SUM(OSRRefT22_24x_0)</f>
        <v>30525</v>
      </c>
      <c r="U209" s="1"/>
      <c r="V209" s="5">
        <f t="shared" ref="V209:V210" si="142">IF(T$12=0,0,T209/T$12)</f>
        <v>7.0324346715040908E-3</v>
      </c>
      <c r="W209" s="1"/>
      <c r="X209" s="1">
        <f t="shared" ref="X209:X210" si="143">+P209-T209</f>
        <v>60.809999999997672</v>
      </c>
      <c r="Y209" s="1"/>
      <c r="Z209" s="5">
        <f t="shared" ref="Z209:Z210" si="144">IF(T209=0,0,X209/T209)</f>
        <v>1.9921375921375158E-3</v>
      </c>
    </row>
    <row r="210" spans="1:26" s="24" customFormat="1" hidden="1" outlineLevel="2" x14ac:dyDescent="0.25">
      <c r="A210" s="28"/>
      <c r="B210" s="11" t="str">
        <f>CONCATENATE("          ", "6274", " - ", "UTILITIES")</f>
        <v xml:space="preserve">          6274 - UTILITIES</v>
      </c>
      <c r="C210" s="11"/>
      <c r="D210" s="6">
        <v>6150.38</v>
      </c>
      <c r="E210" s="2"/>
      <c r="F210" s="7">
        <f t="shared" si="137"/>
        <v>5.5422479735098701E-2</v>
      </c>
      <c r="G210" s="2"/>
      <c r="H210" s="6">
        <v>6105</v>
      </c>
      <c r="I210" s="2"/>
      <c r="J210" s="7">
        <f t="shared" si="138"/>
        <v>1.7235392263976759E-2</v>
      </c>
      <c r="K210" s="2"/>
      <c r="L210" s="6">
        <f t="shared" si="139"/>
        <v>45.380000000000109</v>
      </c>
      <c r="M210" s="2"/>
      <c r="N210" s="7">
        <f t="shared" si="140"/>
        <v>7.4332514332514513E-3</v>
      </c>
      <c r="O210" s="11"/>
      <c r="P210" s="6">
        <v>30585.809999999998</v>
      </c>
      <c r="Q210" s="2"/>
      <c r="R210" s="7">
        <f t="shared" si="141"/>
        <v>1.2408122487112405E-2</v>
      </c>
      <c r="S210" s="2"/>
      <c r="T210" s="6">
        <v>30525</v>
      </c>
      <c r="U210" s="2"/>
      <c r="V210" s="7">
        <f t="shared" si="142"/>
        <v>7.0324346715040908E-3</v>
      </c>
      <c r="W210" s="2"/>
      <c r="X210" s="6">
        <f t="shared" si="143"/>
        <v>60.809999999997672</v>
      </c>
      <c r="Y210" s="2"/>
      <c r="Z210" s="7">
        <f t="shared" si="144"/>
        <v>1.9921375921375158E-3</v>
      </c>
    </row>
    <row r="211" spans="1:26" s="62" customFormat="1" x14ac:dyDescent="0.25">
      <c r="A211" s="36"/>
      <c r="B211" s="36"/>
      <c r="C211" s="36"/>
      <c r="D211" s="1"/>
      <c r="E211" s="1"/>
      <c r="F211" s="5"/>
      <c r="G211" s="1"/>
      <c r="H211" s="1"/>
      <c r="I211" s="1"/>
      <c r="J211" s="5"/>
      <c r="K211" s="1"/>
      <c r="L211" s="1"/>
      <c r="M211" s="1"/>
      <c r="N211" s="5"/>
      <c r="O211" s="36"/>
      <c r="P211" s="1"/>
      <c r="Q211" s="1"/>
      <c r="R211" s="5"/>
      <c r="S211" s="1"/>
      <c r="T211" s="1"/>
      <c r="U211" s="1"/>
      <c r="V211" s="5"/>
      <c r="W211" s="1"/>
      <c r="X211" s="1"/>
      <c r="Y211" s="1"/>
      <c r="Z211" s="5"/>
    </row>
    <row r="212" spans="1:26" s="23" customFormat="1" collapsed="1" x14ac:dyDescent="0.25">
      <c r="A212" s="10"/>
      <c r="B212" s="26" t="s">
        <v>0</v>
      </c>
      <c r="C212" s="10"/>
      <c r="D212" s="4">
        <f>SUM(OSRRefD25x_0)</f>
        <v>72384.83</v>
      </c>
      <c r="E212" s="4"/>
      <c r="F212" s="12">
        <f t="shared" ref="F212:F216" si="145">IF(D$12=0,0,D212/D$12)</f>
        <v>0.652276245338266</v>
      </c>
      <c r="G212" s="4"/>
      <c r="H212" s="4">
        <f>SUM(OSRRefH25x_0)</f>
        <v>32825</v>
      </c>
      <c r="I212" s="4"/>
      <c r="J212" s="12">
        <f t="shared" ref="J212:J216" si="146">IF(H$12=0,0,H212/H$12)</f>
        <v>9.2670229494682579E-2</v>
      </c>
      <c r="K212" s="4"/>
      <c r="L212" s="4">
        <f t="shared" ref="L212:L216" si="147">+D212-H212</f>
        <v>39559.83</v>
      </c>
      <c r="M212" s="4"/>
      <c r="N212" s="12">
        <f t="shared" ref="N212:N216" si="148">IF(H212=0,0,L212/H212)</f>
        <v>1.2051738004569688</v>
      </c>
      <c r="O212" s="10"/>
      <c r="P212" s="4">
        <f>SUM(OSRRefP25x_0)</f>
        <v>524380.25</v>
      </c>
      <c r="Q212" s="4"/>
      <c r="R212" s="12">
        <f t="shared" ref="R212:R216" si="149">IF(P$12=0,0,P212/P$12)</f>
        <v>0.21273179856353733</v>
      </c>
      <c r="S212" s="4"/>
      <c r="T212" s="4">
        <f>SUM(OSRRefT25x_0)</f>
        <v>263884</v>
      </c>
      <c r="U212" s="4"/>
      <c r="V212" s="12">
        <f t="shared" ref="V212:V216" si="150">IF(T$12=0,0,T212/T$12)</f>
        <v>6.0794332214748094E-2</v>
      </c>
      <c r="W212" s="4"/>
      <c r="X212" s="4">
        <f t="shared" ref="X212:X216" si="151">+P212-T212</f>
        <v>260496.25</v>
      </c>
      <c r="Y212" s="4"/>
      <c r="Z212" s="12">
        <f t="shared" ref="Z212:Z216" si="152">IF(T212=0,0,X212/T212)</f>
        <v>0.98716197268496764</v>
      </c>
    </row>
    <row r="213" spans="1:26" s="24" customFormat="1" hidden="1" outlineLevel="1" x14ac:dyDescent="0.25">
      <c r="A213" s="51"/>
      <c r="B213" s="11" t="str">
        <f>CONCATENATE("          ", "9150", " - ", "MISC. INCOME")</f>
        <v xml:space="preserve">          9150 - MISC. INCOME</v>
      </c>
      <c r="C213" s="11"/>
      <c r="D213" s="2">
        <f>--57387.68</f>
        <v>57387.68</v>
      </c>
      <c r="E213" s="2"/>
      <c r="F213" s="22">
        <f t="shared" si="145"/>
        <v>0.51713349936822262</v>
      </c>
      <c r="G213" s="2"/>
      <c r="H213" s="2">
        <v>17650</v>
      </c>
      <c r="I213" s="2"/>
      <c r="J213" s="22">
        <f t="shared" si="146"/>
        <v>4.982877534139063E-2</v>
      </c>
      <c r="K213" s="2"/>
      <c r="L213" s="2">
        <f t="shared" si="147"/>
        <v>39737.68</v>
      </c>
      <c r="M213" s="2"/>
      <c r="N213" s="22">
        <f t="shared" si="148"/>
        <v>2.2514266288951843</v>
      </c>
      <c r="O213" s="11"/>
      <c r="P213" s="2">
        <f>--199082.79</f>
        <v>199082.79</v>
      </c>
      <c r="Q213" s="2"/>
      <c r="R213" s="22">
        <f t="shared" si="149"/>
        <v>8.0764368947432719E-2</v>
      </c>
      <c r="S213" s="2"/>
      <c r="T213" s="2">
        <v>95750</v>
      </c>
      <c r="U213" s="2"/>
      <c r="V213" s="22">
        <f t="shared" si="150"/>
        <v>2.2059152163686049E-2</v>
      </c>
      <c r="W213" s="2"/>
      <c r="X213" s="2">
        <f t="shared" si="151"/>
        <v>103332.79000000001</v>
      </c>
      <c r="Y213" s="2"/>
      <c r="Z213" s="22">
        <f t="shared" si="152"/>
        <v>1.0791936292428199</v>
      </c>
    </row>
    <row r="214" spans="1:26" s="24" customFormat="1" hidden="1" outlineLevel="1" x14ac:dyDescent="0.25">
      <c r="A214" s="51"/>
      <c r="B214" s="11" t="str">
        <f>CONCATENATE("          ", "9151", " - ", "MISC. INCOME")</f>
        <v xml:space="preserve">          9151 - MISC. INCOME</v>
      </c>
      <c r="C214" s="11"/>
      <c r="D214" s="2">
        <f>0</f>
        <v>0</v>
      </c>
      <c r="E214" s="2"/>
      <c r="F214" s="22">
        <f t="shared" si="145"/>
        <v>0</v>
      </c>
      <c r="G214" s="2"/>
      <c r="H214" s="2">
        <v>15175</v>
      </c>
      <c r="I214" s="2"/>
      <c r="J214" s="22">
        <f t="shared" si="146"/>
        <v>4.2841454153291943E-2</v>
      </c>
      <c r="K214" s="2"/>
      <c r="L214" s="2">
        <f t="shared" si="147"/>
        <v>-15175</v>
      </c>
      <c r="M214" s="2"/>
      <c r="N214" s="22">
        <f t="shared" si="148"/>
        <v>-1</v>
      </c>
      <c r="O214" s="11"/>
      <c r="P214" s="2">
        <f>--147285.39</f>
        <v>147285.39000000001</v>
      </c>
      <c r="Q214" s="2"/>
      <c r="R214" s="22">
        <f t="shared" si="149"/>
        <v>5.9751079329993906E-2</v>
      </c>
      <c r="S214" s="2"/>
      <c r="T214" s="2">
        <v>168134</v>
      </c>
      <c r="U214" s="2"/>
      <c r="V214" s="22">
        <f t="shared" si="150"/>
        <v>3.8735180051062044E-2</v>
      </c>
      <c r="W214" s="2"/>
      <c r="X214" s="2">
        <f t="shared" si="151"/>
        <v>-20848.609999999986</v>
      </c>
      <c r="Y214" s="2"/>
      <c r="Z214" s="22">
        <f t="shared" si="152"/>
        <v>-0.1239999643141779</v>
      </c>
    </row>
    <row r="215" spans="1:26" s="24" customFormat="1" hidden="1" outlineLevel="1" x14ac:dyDescent="0.25">
      <c r="A215" s="51"/>
      <c r="B215" s="11" t="str">
        <f>CONCATENATE("          ", "9152", " - ", "MISC. INCOME")</f>
        <v xml:space="preserve">          9152 - MISC. INCOME</v>
      </c>
      <c r="C215" s="11"/>
      <c r="D215" s="2">
        <f>--255.21</f>
        <v>255.21</v>
      </c>
      <c r="E215" s="2"/>
      <c r="F215" s="22">
        <f t="shared" si="145"/>
        <v>2.2997556335046842E-3</v>
      </c>
      <c r="G215" s="2"/>
      <c r="H215" s="2"/>
      <c r="I215" s="2"/>
      <c r="J215" s="22">
        <f t="shared" si="146"/>
        <v>0</v>
      </c>
      <c r="K215" s="2"/>
      <c r="L215" s="2">
        <f t="shared" si="147"/>
        <v>255.21</v>
      </c>
      <c r="M215" s="2"/>
      <c r="N215" s="22">
        <f t="shared" si="148"/>
        <v>0</v>
      </c>
      <c r="O215" s="11"/>
      <c r="P215" s="2">
        <f>--2606.23</f>
        <v>2606.23</v>
      </c>
      <c r="Q215" s="2"/>
      <c r="R215" s="22">
        <f t="shared" si="149"/>
        <v>1.0573014436951961E-3</v>
      </c>
      <c r="S215" s="2"/>
      <c r="T215" s="2"/>
      <c r="U215" s="2"/>
      <c r="V215" s="22">
        <f t="shared" si="150"/>
        <v>0</v>
      </c>
      <c r="W215" s="2"/>
      <c r="X215" s="2">
        <f t="shared" si="151"/>
        <v>2606.23</v>
      </c>
      <c r="Y215" s="2"/>
      <c r="Z215" s="22">
        <f t="shared" si="152"/>
        <v>0</v>
      </c>
    </row>
    <row r="216" spans="1:26" s="24" customFormat="1" hidden="1" outlineLevel="1" x14ac:dyDescent="0.25">
      <c r="A216" s="51"/>
      <c r="B216" s="11" t="str">
        <f>CONCATENATE("          ", "9163", " - ", "MISC. INCOME")</f>
        <v xml:space="preserve">          9163 - MISC. INCOME</v>
      </c>
      <c r="C216" s="11"/>
      <c r="D216" s="2">
        <f>--14741.94</f>
        <v>14741.94</v>
      </c>
      <c r="E216" s="2"/>
      <c r="F216" s="22">
        <f t="shared" si="145"/>
        <v>0.13284299033653871</v>
      </c>
      <c r="G216" s="2"/>
      <c r="H216" s="2"/>
      <c r="I216" s="2"/>
      <c r="J216" s="22">
        <f t="shared" si="146"/>
        <v>0</v>
      </c>
      <c r="K216" s="2"/>
      <c r="L216" s="2">
        <f t="shared" si="147"/>
        <v>14741.94</v>
      </c>
      <c r="M216" s="2"/>
      <c r="N216" s="22">
        <f t="shared" si="148"/>
        <v>0</v>
      </c>
      <c r="O216" s="11"/>
      <c r="P216" s="2">
        <f>--175405.84</f>
        <v>175405.84</v>
      </c>
      <c r="Q216" s="2"/>
      <c r="R216" s="22">
        <f t="shared" si="149"/>
        <v>7.1159048842415515E-2</v>
      </c>
      <c r="S216" s="2"/>
      <c r="T216" s="2"/>
      <c r="U216" s="2"/>
      <c r="V216" s="22">
        <f t="shared" si="150"/>
        <v>0</v>
      </c>
      <c r="W216" s="2"/>
      <c r="X216" s="2">
        <f t="shared" si="151"/>
        <v>175405.84</v>
      </c>
      <c r="Y216" s="2"/>
      <c r="Z216" s="22">
        <f t="shared" si="152"/>
        <v>0</v>
      </c>
    </row>
    <row r="217" spans="1:26" x14ac:dyDescent="0.2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x14ac:dyDescent="0.25">
      <c r="A218" s="10"/>
      <c r="B218" s="25" t="s">
        <v>3</v>
      </c>
      <c r="C218" s="25"/>
      <c r="D218" s="21">
        <f>+D112-D114+D212</f>
        <v>-113545.32999999991</v>
      </c>
      <c r="E218" s="13"/>
      <c r="F218" s="20">
        <f>IF(D$12=0,0,D218/D$12)</f>
        <v>-1.0231829173059372</v>
      </c>
      <c r="G218" s="13"/>
      <c r="H218" s="21">
        <f>+H112-H114+H212</f>
        <v>-78755.731974115421</v>
      </c>
      <c r="I218" s="13"/>
      <c r="J218" s="20">
        <f>IF(H$12=0,0,H218/H$12)</f>
        <v>-0.22234003826543752</v>
      </c>
      <c r="K218" s="16"/>
      <c r="L218" s="21">
        <f>+D218-H218</f>
        <v>-34789.598025884494</v>
      </c>
      <c r="M218" s="16"/>
      <c r="N218" s="20">
        <f>IF(H218=0,0,L218/H218)</f>
        <v>0.44174052038928113</v>
      </c>
      <c r="O218" s="26"/>
      <c r="P218" s="21">
        <f>+P112-P114+P212</f>
        <v>28789.289999999339</v>
      </c>
      <c r="Q218" s="13"/>
      <c r="R218" s="20">
        <f>IF(P$12=0,0,P218/P$12)</f>
        <v>1.1679306078112435E-2</v>
      </c>
      <c r="S218" s="13"/>
      <c r="T218" s="21">
        <f>+T112-T114+T212</f>
        <v>87182.96239836514</v>
      </c>
      <c r="U218" s="13"/>
      <c r="V218" s="20">
        <f>IF(T$12=0,0,T218/T$12)</f>
        <v>2.0085454137090925E-2</v>
      </c>
      <c r="W218" s="16"/>
      <c r="X218" s="21">
        <f>+P218-T218</f>
        <v>-58393.672398365801</v>
      </c>
      <c r="Y218" s="16"/>
      <c r="Z218" s="20">
        <f>IF(T218=0,0,X218/T218)</f>
        <v>-0.66978307219646394</v>
      </c>
    </row>
    <row r="219" spans="1:26" x14ac:dyDescent="0.25">
      <c r="A219" s="9"/>
      <c r="B219" s="10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s="23" customFormat="1" x14ac:dyDescent="0.25">
      <c r="A220" s="52"/>
      <c r="B220" s="10" t="s">
        <v>14</v>
      </c>
      <c r="C220" s="10"/>
      <c r="D220" s="4">
        <v>-118249.83</v>
      </c>
      <c r="E220" s="4"/>
      <c r="F220" s="12">
        <f>IF(D$12=0,0,D220/D$12)</f>
        <v>-1.0655762419320216</v>
      </c>
      <c r="G220" s="4"/>
      <c r="H220" s="4">
        <v>120765</v>
      </c>
      <c r="I220" s="4"/>
      <c r="J220" s="12">
        <f>IF(H$12=0,0,H220/H$12)</f>
        <v>0.3409389265780759</v>
      </c>
      <c r="K220" s="4"/>
      <c r="L220" s="4">
        <f>+D220-H220</f>
        <v>-239014.83000000002</v>
      </c>
      <c r="M220" s="4"/>
      <c r="N220" s="12">
        <f>IF(H220=0,0,L220/H220)</f>
        <v>-1.9791730219848467</v>
      </c>
      <c r="O220" s="10"/>
      <c r="P220" s="4">
        <v>391679.49</v>
      </c>
      <c r="Q220" s="4"/>
      <c r="R220" s="12">
        <f>IF(P$12=0,0,P220/P$12)</f>
        <v>0.15889744582895529</v>
      </c>
      <c r="S220" s="4"/>
      <c r="T220" s="4">
        <v>774921</v>
      </c>
      <c r="U220" s="4"/>
      <c r="V220" s="12">
        <f>IF(T$12=0,0,T220/T$12)</f>
        <v>0.17852846218105231</v>
      </c>
      <c r="W220" s="4"/>
      <c r="X220" s="4">
        <f>+P220-T220</f>
        <v>-383241.51</v>
      </c>
      <c r="Y220" s="4"/>
      <c r="Z220" s="12">
        <f>IF(T220=0,0,X220/T220)</f>
        <v>-0.4945555869566059</v>
      </c>
    </row>
    <row r="221" spans="1:26" x14ac:dyDescent="0.25">
      <c r="A221" s="9"/>
      <c r="B221" s="10"/>
      <c r="C221" s="10"/>
      <c r="D221" s="3"/>
      <c r="E221" s="3"/>
      <c r="F221" s="8"/>
      <c r="G221" s="3"/>
      <c r="H221" s="3"/>
      <c r="I221" s="3"/>
      <c r="J221" s="8"/>
      <c r="K221" s="3"/>
      <c r="L221" s="3"/>
      <c r="M221" s="3"/>
      <c r="N221" s="8"/>
      <c r="O221" s="10"/>
      <c r="P221" s="3"/>
      <c r="Q221" s="3"/>
      <c r="R221" s="8"/>
      <c r="S221" s="3"/>
      <c r="T221" s="3"/>
      <c r="U221" s="3"/>
      <c r="V221" s="8"/>
      <c r="W221" s="3"/>
      <c r="X221" s="3"/>
      <c r="Y221" s="3"/>
      <c r="Z221" s="8"/>
    </row>
    <row r="222" spans="1:26" s="23" customFormat="1" ht="15.75" thickBot="1" x14ac:dyDescent="0.3">
      <c r="A222" s="10"/>
      <c r="B222" s="25" t="s">
        <v>4</v>
      </c>
      <c r="C222" s="25"/>
      <c r="D222" s="31">
        <f>+D218-D220</f>
        <v>4704.5000000000873</v>
      </c>
      <c r="E222" s="13"/>
      <c r="F222" s="34">
        <f>IF(D$12=0,0,D222/D$12)</f>
        <v>4.2393324626084354E-2</v>
      </c>
      <c r="G222" s="13"/>
      <c r="H222" s="31">
        <f>+H218-H220</f>
        <v>-199520.73197411542</v>
      </c>
      <c r="I222" s="13"/>
      <c r="J222" s="34">
        <f>IF(H$12=0,0,H222/H$12)</f>
        <v>-0.56327896484351347</v>
      </c>
      <c r="K222" s="16"/>
      <c r="L222" s="31">
        <f>D222-H222</f>
        <v>204225.23197411551</v>
      </c>
      <c r="M222" s="16"/>
      <c r="N222" s="34">
        <f>IF(H222=0,0,L222/H222)</f>
        <v>-1.0235790033118484</v>
      </c>
      <c r="O222" s="26"/>
      <c r="P222" s="31">
        <f>+P218-P220</f>
        <v>-362890.20000000065</v>
      </c>
      <c r="Q222" s="13"/>
      <c r="R222" s="34">
        <f>IF(P$12=0,0,P222/P$12)</f>
        <v>-0.14721813975084283</v>
      </c>
      <c r="S222" s="13"/>
      <c r="T222" s="31">
        <f>+T218-T220</f>
        <v>-687738.03760163486</v>
      </c>
      <c r="U222" s="13"/>
      <c r="V222" s="34">
        <f>IF(T$12=0,0,T222/T$12)</f>
        <v>-0.15844300804396139</v>
      </c>
      <c r="W222" s="16"/>
      <c r="X222" s="31">
        <f>P222-T222</f>
        <v>324847.83760163421</v>
      </c>
      <c r="Y222" s="16"/>
      <c r="Z222" s="34">
        <f>IF(T222=0,0,X222/T222)</f>
        <v>-0.47234240341639933</v>
      </c>
    </row>
    <row r="223" spans="1:26" ht="15.75" thickTop="1" x14ac:dyDescent="0.25">
      <c r="A223" s="9"/>
      <c r="B223" s="9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x14ac:dyDescent="0.25">
      <c r="A224" s="9"/>
      <c r="B224" s="9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.75" thickBot="1" x14ac:dyDescent="0.3">
      <c r="A225" s="10"/>
      <c r="B225" s="25" t="s">
        <v>5</v>
      </c>
      <c r="C225" s="25"/>
      <c r="D225" s="33">
        <f>SUM(D222:D224)</f>
        <v>4704.5000000000873</v>
      </c>
      <c r="E225" s="13"/>
      <c r="F225" s="30">
        <f>IF(D$12=0,0,D225/D$12)</f>
        <v>4.2393324626084354E-2</v>
      </c>
      <c r="G225" s="13"/>
      <c r="H225" s="33">
        <f>SUM(H222:H224)</f>
        <v>-199520.73197411542</v>
      </c>
      <c r="I225" s="13"/>
      <c r="J225" s="30">
        <f>IF(H$12=0,0,H225/H$12)</f>
        <v>-0.56327896484351347</v>
      </c>
      <c r="K225" s="16"/>
      <c r="L225" s="33">
        <f>+D225-H225</f>
        <v>204225.23197411551</v>
      </c>
      <c r="M225" s="16"/>
      <c r="N225" s="30">
        <f>IF(H225=0,0,L225/H225)</f>
        <v>-1.0235790033118484</v>
      </c>
      <c r="O225" s="26"/>
      <c r="P225" s="33">
        <f>SUM(P222:P224)</f>
        <v>-362890.20000000065</v>
      </c>
      <c r="Q225" s="13"/>
      <c r="R225" s="30">
        <f>IF(P$12=0,0,P225/P$12)</f>
        <v>-0.14721813975084283</v>
      </c>
      <c r="S225" s="13"/>
      <c r="T225" s="33">
        <f>SUM(T222:T224)</f>
        <v>-687738.03760163486</v>
      </c>
      <c r="U225" s="13"/>
      <c r="V225" s="30">
        <f>IF(T$12=0,0,T225/T$12)</f>
        <v>-0.15844300804396139</v>
      </c>
      <c r="W225" s="16"/>
      <c r="X225" s="33">
        <f>+P225-T225</f>
        <v>324847.83760163421</v>
      </c>
      <c r="Y225" s="16"/>
      <c r="Z225" s="30">
        <f>IF(T225=0,0,X225/T225)</f>
        <v>-0.47234240341639933</v>
      </c>
    </row>
    <row r="226" spans="1:26" ht="15.75" thickTop="1" x14ac:dyDescent="0.25">
      <c r="A226" s="9"/>
      <c r="C226" s="9"/>
      <c r="D226" s="18"/>
      <c r="E226" s="18"/>
      <c r="G226" s="18"/>
      <c r="H226" s="18"/>
      <c r="I226" s="18"/>
      <c r="J226" s="43"/>
      <c r="K226" s="18"/>
      <c r="L226" s="18"/>
      <c r="M226" s="18"/>
      <c r="P226" s="18"/>
      <c r="Q226" s="18"/>
      <c r="R226" s="43"/>
      <c r="S226" s="18"/>
      <c r="T226" s="18"/>
      <c r="U226" s="18"/>
      <c r="V226" s="43"/>
      <c r="W226" s="18"/>
      <c r="X226" s="18"/>
    </row>
    <row r="227" spans="1:26" x14ac:dyDescent="0.25">
      <c r="A227" s="9"/>
      <c r="B227" s="55">
        <v>44174.679044328703</v>
      </c>
      <c r="D227" s="18"/>
      <c r="E227" s="18"/>
      <c r="G227" s="18"/>
      <c r="H227" s="18"/>
      <c r="I227" s="18"/>
      <c r="J227" s="43"/>
      <c r="K227" s="18"/>
      <c r="L227" s="18"/>
      <c r="M227" s="18"/>
      <c r="P227" s="18"/>
      <c r="Q227" s="18"/>
      <c r="R227" s="43"/>
      <c r="S227" s="18"/>
      <c r="T227" s="18"/>
      <c r="U227" s="18"/>
      <c r="V227" s="43"/>
      <c r="W227" s="18"/>
      <c r="X227" s="18"/>
    </row>
    <row r="228" spans="1:26" x14ac:dyDescent="0.25">
      <c r="A228" s="9"/>
      <c r="B228" s="57" t="s">
        <v>314</v>
      </c>
      <c r="D228" s="18"/>
      <c r="E228" s="18"/>
      <c r="G228" s="18"/>
      <c r="H228" s="18"/>
      <c r="I228" s="18"/>
      <c r="J228" s="43"/>
      <c r="K228" s="18"/>
      <c r="L228" s="18"/>
      <c r="M228" s="18"/>
      <c r="P228" s="18"/>
      <c r="Q228" s="18"/>
      <c r="R228" s="43"/>
      <c r="S228" s="18"/>
      <c r="T228" s="18"/>
      <c r="U228" s="18"/>
      <c r="V228" s="43"/>
      <c r="W228" s="18"/>
      <c r="X228" s="18"/>
    </row>
    <row r="229" spans="1:26" x14ac:dyDescent="0.25">
      <c r="A229" s="9"/>
      <c r="B229" s="63"/>
      <c r="D229" s="18"/>
      <c r="E229" s="18"/>
      <c r="G229" s="18"/>
      <c r="H229" s="18"/>
      <c r="I229" s="18"/>
      <c r="J229" s="43"/>
      <c r="K229" s="18"/>
      <c r="L229" s="18"/>
      <c r="M229" s="18"/>
      <c r="P229" s="18"/>
      <c r="Q229" s="18"/>
      <c r="R229" s="43"/>
      <c r="S229" s="18"/>
      <c r="T229" s="18"/>
      <c r="U229" s="18"/>
      <c r="V229" s="43"/>
      <c r="W229" s="18"/>
      <c r="X229" s="18"/>
    </row>
    <row r="230" spans="1:26" x14ac:dyDescent="0.25">
      <c r="D230" s="18"/>
      <c r="E230" s="18"/>
      <c r="G230" s="18"/>
      <c r="H230" s="18"/>
      <c r="I230" s="18"/>
      <c r="J230" s="43"/>
      <c r="K230" s="18"/>
      <c r="L230" s="18"/>
      <c r="M230" s="18"/>
      <c r="P230" s="18"/>
      <c r="Q230" s="18"/>
      <c r="R230" s="43"/>
      <c r="S230" s="18"/>
      <c r="T230" s="18"/>
      <c r="U230" s="18"/>
      <c r="V230" s="43"/>
      <c r="W230" s="18"/>
      <c r="X23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170754.02999999997</v>
      </c>
      <c r="E12" s="4"/>
      <c r="F12" s="12"/>
      <c r="G12" s="4"/>
      <c r="H12" s="4">
        <f>SUM(OSRRefH13x_0)</f>
        <v>498645.00000000006</v>
      </c>
      <c r="I12" s="4"/>
      <c r="J12" s="12"/>
      <c r="K12" s="4"/>
      <c r="L12" s="4">
        <f t="shared" ref="L12:L88" si="0">+D12-H12</f>
        <v>-327890.97000000009</v>
      </c>
      <c r="M12" s="4"/>
      <c r="N12" s="12">
        <f t="shared" ref="N12:N88" si="1">IF(H12=0,0,L12/H12)</f>
        <v>-0.6575639382727192</v>
      </c>
      <c r="O12" s="10"/>
      <c r="P12" s="4">
        <f>SUM(OSRRefP13x_0)</f>
        <v>3660885.8200000008</v>
      </c>
      <c r="Q12" s="4"/>
      <c r="R12" s="12"/>
      <c r="S12" s="4"/>
      <c r="T12" s="4">
        <f>SUM(OSRRefT13x_0)</f>
        <v>5689599</v>
      </c>
      <c r="U12" s="4"/>
      <c r="V12" s="12"/>
      <c r="W12" s="4"/>
      <c r="X12" s="4">
        <f t="shared" ref="X12:X88" si="2">+P12-T12</f>
        <v>-2028713.1799999992</v>
      </c>
      <c r="Y12" s="4"/>
      <c r="Z12" s="12">
        <f t="shared" ref="Z12:Z88" si="3">IF(T12=0,0,X12/T12)</f>
        <v>-0.35656523069551987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-9680.35</f>
        <v>-9680.35</v>
      </c>
      <c r="E13" s="2"/>
      <c r="F13" s="22"/>
      <c r="G13" s="2"/>
      <c r="H13" s="2">
        <v>479467.00000000006</v>
      </c>
      <c r="I13" s="2"/>
      <c r="J13" s="22"/>
      <c r="K13" s="2"/>
      <c r="L13" s="2">
        <f t="shared" si="0"/>
        <v>-489147.35000000003</v>
      </c>
      <c r="M13" s="2"/>
      <c r="N13" s="22">
        <f t="shared" si="1"/>
        <v>-1.0201898149403399</v>
      </c>
      <c r="O13" s="11"/>
      <c r="P13" s="2">
        <f>-59042.76</f>
        <v>-59042.76</v>
      </c>
      <c r="Q13" s="2"/>
      <c r="R13" s="22"/>
      <c r="S13" s="2"/>
      <c r="T13" s="2">
        <v>5563199</v>
      </c>
      <c r="U13" s="2"/>
      <c r="V13" s="22"/>
      <c r="W13" s="2"/>
      <c r="X13" s="2">
        <f t="shared" si="2"/>
        <v>-5622241.7599999998</v>
      </c>
      <c r="Y13" s="2"/>
      <c r="Z13" s="22">
        <f t="shared" si="3"/>
        <v>-1.0106130950915111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22"/>
      <c r="G14" s="2"/>
      <c r="H14" s="2"/>
      <c r="I14" s="2"/>
      <c r="J14" s="22"/>
      <c r="K14" s="2"/>
      <c r="L14" s="2">
        <f t="shared" si="0"/>
        <v>6816.45</v>
      </c>
      <c r="M14" s="2"/>
      <c r="N14" s="22">
        <f t="shared" si="1"/>
        <v>0</v>
      </c>
      <c r="O14" s="11"/>
      <c r="P14" s="2">
        <f>--719144.02</f>
        <v>719144.02</v>
      </c>
      <c r="Q14" s="2"/>
      <c r="R14" s="22"/>
      <c r="S14" s="2"/>
      <c r="T14" s="2"/>
      <c r="U14" s="2"/>
      <c r="V14" s="22"/>
      <c r="W14" s="2"/>
      <c r="X14" s="2">
        <f t="shared" si="2"/>
        <v>719144.02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22"/>
      <c r="G15" s="2"/>
      <c r="H15" s="2"/>
      <c r="I15" s="2"/>
      <c r="J15" s="22"/>
      <c r="K15" s="2"/>
      <c r="L15" s="2">
        <f t="shared" si="0"/>
        <v>1492.1</v>
      </c>
      <c r="M15" s="2"/>
      <c r="N15" s="22">
        <f t="shared" si="1"/>
        <v>0</v>
      </c>
      <c r="O15" s="11"/>
      <c r="P15" s="2">
        <f>--320631.62</f>
        <v>320631.62</v>
      </c>
      <c r="Q15" s="2"/>
      <c r="R15" s="22"/>
      <c r="S15" s="2"/>
      <c r="T15" s="2"/>
      <c r="U15" s="2"/>
      <c r="V15" s="22"/>
      <c r="W15" s="2"/>
      <c r="X15" s="2">
        <f t="shared" si="2"/>
        <v>320631.62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--18.37</f>
        <v>18.37</v>
      </c>
      <c r="E21" s="2"/>
      <c r="F21" s="22"/>
      <c r="G21" s="2"/>
      <c r="H21" s="2"/>
      <c r="I21" s="2"/>
      <c r="J21" s="22"/>
      <c r="K21" s="2"/>
      <c r="L21" s="2">
        <f t="shared" si="0"/>
        <v>18.37</v>
      </c>
      <c r="M21" s="2"/>
      <c r="N21" s="22">
        <f t="shared" si="1"/>
        <v>0</v>
      </c>
      <c r="O21" s="11"/>
      <c r="P21" s="2">
        <f>--297.2</f>
        <v>297.2</v>
      </c>
      <c r="Q21" s="2"/>
      <c r="R21" s="22"/>
      <c r="S21" s="2"/>
      <c r="T21" s="2"/>
      <c r="U21" s="2"/>
      <c r="V21" s="22"/>
      <c r="W21" s="2"/>
      <c r="X21" s="2">
        <f t="shared" si="2"/>
        <v>297.2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--1716.97</f>
        <v>1716.97</v>
      </c>
      <c r="E22" s="2"/>
      <c r="F22" s="22"/>
      <c r="G22" s="2"/>
      <c r="H22" s="2"/>
      <c r="I22" s="2"/>
      <c r="J22" s="22"/>
      <c r="K22" s="2"/>
      <c r="L22" s="2">
        <f t="shared" si="0"/>
        <v>1716.97</v>
      </c>
      <c r="M22" s="2"/>
      <c r="N22" s="22">
        <f t="shared" si="1"/>
        <v>0</v>
      </c>
      <c r="O22" s="11"/>
      <c r="P22" s="2">
        <f>--36720.47</f>
        <v>36720.47</v>
      </c>
      <c r="Q22" s="2"/>
      <c r="R22" s="22"/>
      <c r="S22" s="2"/>
      <c r="T22" s="2"/>
      <c r="U22" s="2"/>
      <c r="V22" s="22"/>
      <c r="W22" s="2"/>
      <c r="X22" s="2">
        <f t="shared" si="2"/>
        <v>36720.47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--1730.73</f>
        <v>1730.73</v>
      </c>
      <c r="E23" s="2"/>
      <c r="F23" s="22"/>
      <c r="G23" s="2"/>
      <c r="H23" s="2"/>
      <c r="I23" s="2"/>
      <c r="J23" s="22"/>
      <c r="K23" s="2"/>
      <c r="L23" s="2">
        <f t="shared" si="0"/>
        <v>1730.73</v>
      </c>
      <c r="M23" s="2"/>
      <c r="N23" s="22">
        <f t="shared" si="1"/>
        <v>0</v>
      </c>
      <c r="O23" s="11"/>
      <c r="P23" s="2">
        <f>--15999.58</f>
        <v>15999.58</v>
      </c>
      <c r="Q23" s="2"/>
      <c r="R23" s="22"/>
      <c r="S23" s="2"/>
      <c r="T23" s="2"/>
      <c r="U23" s="2"/>
      <c r="V23" s="22"/>
      <c r="W23" s="2"/>
      <c r="X23" s="2">
        <f t="shared" si="2"/>
        <v>15999.58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--194.65</f>
        <v>194.65</v>
      </c>
      <c r="E24" s="2"/>
      <c r="F24" s="22"/>
      <c r="G24" s="2"/>
      <c r="H24" s="2"/>
      <c r="I24" s="2"/>
      <c r="J24" s="22"/>
      <c r="K24" s="2"/>
      <c r="L24" s="2">
        <f t="shared" si="0"/>
        <v>194.65</v>
      </c>
      <c r="M24" s="2"/>
      <c r="N24" s="22">
        <f t="shared" si="1"/>
        <v>0</v>
      </c>
      <c r="O24" s="11"/>
      <c r="P24" s="2">
        <f>--1862.61</f>
        <v>1862.61</v>
      </c>
      <c r="Q24" s="2"/>
      <c r="R24" s="22"/>
      <c r="S24" s="2"/>
      <c r="T24" s="2"/>
      <c r="U24" s="2"/>
      <c r="V24" s="22"/>
      <c r="W24" s="2"/>
      <c r="X24" s="2">
        <f t="shared" si="2"/>
        <v>1862.61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--40927.79</f>
        <v>40927.79</v>
      </c>
      <c r="E26" s="2"/>
      <c r="F26" s="22"/>
      <c r="G26" s="2"/>
      <c r="H26" s="2"/>
      <c r="I26" s="2"/>
      <c r="J26" s="22"/>
      <c r="K26" s="2"/>
      <c r="L26" s="2">
        <f t="shared" si="0"/>
        <v>40927.79</v>
      </c>
      <c r="M26" s="2"/>
      <c r="N26" s="22">
        <f t="shared" si="1"/>
        <v>0</v>
      </c>
      <c r="O26" s="11"/>
      <c r="P26" s="2">
        <f>--423732.7</f>
        <v>423732.7</v>
      </c>
      <c r="Q26" s="2"/>
      <c r="R26" s="22"/>
      <c r="S26" s="2"/>
      <c r="T26" s="2"/>
      <c r="U26" s="2"/>
      <c r="V26" s="22"/>
      <c r="W26" s="2"/>
      <c r="X26" s="2">
        <f t="shared" si="2"/>
        <v>423732.7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--12313.27</f>
        <v>12313.27</v>
      </c>
      <c r="E27" s="2"/>
      <c r="F27" s="22"/>
      <c r="G27" s="2"/>
      <c r="H27" s="2"/>
      <c r="I27" s="2"/>
      <c r="J27" s="22"/>
      <c r="K27" s="2"/>
      <c r="L27" s="2">
        <f t="shared" si="0"/>
        <v>12313.27</v>
      </c>
      <c r="M27" s="2"/>
      <c r="N27" s="22">
        <f t="shared" si="1"/>
        <v>0</v>
      </c>
      <c r="O27" s="11"/>
      <c r="P27" s="2">
        <f>--165400.49</f>
        <v>165400.49</v>
      </c>
      <c r="Q27" s="2"/>
      <c r="R27" s="22"/>
      <c r="S27" s="2"/>
      <c r="T27" s="2"/>
      <c r="U27" s="2"/>
      <c r="V27" s="22"/>
      <c r="W27" s="2"/>
      <c r="X27" s="2">
        <f t="shared" si="2"/>
        <v>165400.49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--2095.44</f>
        <v>2095.44</v>
      </c>
      <c r="E28" s="2"/>
      <c r="F28" s="22"/>
      <c r="G28" s="2"/>
      <c r="H28" s="2"/>
      <c r="I28" s="2"/>
      <c r="J28" s="22"/>
      <c r="K28" s="2"/>
      <c r="L28" s="2">
        <f t="shared" si="0"/>
        <v>2095.44</v>
      </c>
      <c r="M28" s="2"/>
      <c r="N28" s="22">
        <f t="shared" si="1"/>
        <v>0</v>
      </c>
      <c r="O28" s="11"/>
      <c r="P28" s="2">
        <f>--56879.12</f>
        <v>56879.12</v>
      </c>
      <c r="Q28" s="2"/>
      <c r="R28" s="22"/>
      <c r="S28" s="2"/>
      <c r="T28" s="2"/>
      <c r="U28" s="2"/>
      <c r="V28" s="22"/>
      <c r="W28" s="2"/>
      <c r="X28" s="2">
        <f t="shared" si="2"/>
        <v>56879.12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--16932.18</f>
        <v>16932.18</v>
      </c>
      <c r="E29" s="2"/>
      <c r="F29" s="22"/>
      <c r="G29" s="2"/>
      <c r="H29" s="2"/>
      <c r="I29" s="2"/>
      <c r="J29" s="22"/>
      <c r="K29" s="2"/>
      <c r="L29" s="2">
        <f t="shared" si="0"/>
        <v>16932.18</v>
      </c>
      <c r="M29" s="2"/>
      <c r="N29" s="22">
        <f t="shared" si="1"/>
        <v>0</v>
      </c>
      <c r="O29" s="11"/>
      <c r="P29" s="2">
        <f>--57178.22</f>
        <v>57178.22</v>
      </c>
      <c r="Q29" s="2"/>
      <c r="R29" s="22"/>
      <c r="S29" s="2"/>
      <c r="T29" s="2"/>
      <c r="U29" s="2"/>
      <c r="V29" s="22"/>
      <c r="W29" s="2"/>
      <c r="X29" s="2">
        <f t="shared" si="2"/>
        <v>57178.22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--2517.35</f>
        <v>2517.35</v>
      </c>
      <c r="E30" s="2"/>
      <c r="F30" s="22"/>
      <c r="G30" s="2"/>
      <c r="H30" s="2"/>
      <c r="I30" s="2"/>
      <c r="J30" s="22"/>
      <c r="K30" s="2"/>
      <c r="L30" s="2">
        <f t="shared" si="0"/>
        <v>2517.35</v>
      </c>
      <c r="M30" s="2"/>
      <c r="N30" s="22">
        <f t="shared" si="1"/>
        <v>0</v>
      </c>
      <c r="O30" s="11"/>
      <c r="P30" s="2">
        <f>--15006.51</f>
        <v>15006.51</v>
      </c>
      <c r="Q30" s="2"/>
      <c r="R30" s="22"/>
      <c r="S30" s="2"/>
      <c r="T30" s="2"/>
      <c r="U30" s="2"/>
      <c r="V30" s="22"/>
      <c r="W30" s="2"/>
      <c r="X30" s="2">
        <f t="shared" si="2"/>
        <v>15006.51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--11255.56</f>
        <v>11255.56</v>
      </c>
      <c r="E31" s="2"/>
      <c r="F31" s="22"/>
      <c r="G31" s="2"/>
      <c r="H31" s="2"/>
      <c r="I31" s="2"/>
      <c r="J31" s="22"/>
      <c r="K31" s="2"/>
      <c r="L31" s="2">
        <f t="shared" si="0"/>
        <v>11255.56</v>
      </c>
      <c r="M31" s="2"/>
      <c r="N31" s="22">
        <f t="shared" si="1"/>
        <v>0</v>
      </c>
      <c r="O31" s="11"/>
      <c r="P31" s="2">
        <f>--108212.17</f>
        <v>108212.17</v>
      </c>
      <c r="Q31" s="2"/>
      <c r="R31" s="22"/>
      <c r="S31" s="2"/>
      <c r="T31" s="2"/>
      <c r="U31" s="2"/>
      <c r="V31" s="22"/>
      <c r="W31" s="2"/>
      <c r="X31" s="2">
        <f t="shared" si="2"/>
        <v>108212.17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--973.93</f>
        <v>973.93</v>
      </c>
      <c r="E32" s="2"/>
      <c r="F32" s="22"/>
      <c r="G32" s="2"/>
      <c r="H32" s="2"/>
      <c r="I32" s="2"/>
      <c r="J32" s="22"/>
      <c r="K32" s="2"/>
      <c r="L32" s="2">
        <f t="shared" si="0"/>
        <v>973.93</v>
      </c>
      <c r="M32" s="2"/>
      <c r="N32" s="22">
        <f t="shared" si="1"/>
        <v>0</v>
      </c>
      <c r="O32" s="11"/>
      <c r="P32" s="2">
        <f>--56091.22</f>
        <v>56091.22</v>
      </c>
      <c r="Q32" s="2"/>
      <c r="R32" s="22"/>
      <c r="S32" s="2"/>
      <c r="T32" s="2"/>
      <c r="U32" s="2"/>
      <c r="V32" s="22"/>
      <c r="W32" s="2"/>
      <c r="X32" s="2">
        <f t="shared" si="2"/>
        <v>56091.22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--57494.9</f>
        <v>57494.9</v>
      </c>
      <c r="E33" s="2"/>
      <c r="F33" s="22"/>
      <c r="G33" s="2"/>
      <c r="H33" s="2"/>
      <c r="I33" s="2"/>
      <c r="J33" s="22"/>
      <c r="K33" s="2"/>
      <c r="L33" s="2">
        <f t="shared" si="0"/>
        <v>57494.9</v>
      </c>
      <c r="M33" s="2"/>
      <c r="N33" s="22">
        <f t="shared" si="1"/>
        <v>0</v>
      </c>
      <c r="O33" s="11"/>
      <c r="P33" s="2">
        <f>--949594.89</f>
        <v>949594.89</v>
      </c>
      <c r="Q33" s="2"/>
      <c r="R33" s="22"/>
      <c r="S33" s="2"/>
      <c r="T33" s="2"/>
      <c r="U33" s="2"/>
      <c r="V33" s="22"/>
      <c r="W33" s="2"/>
      <c r="X33" s="2">
        <f t="shared" si="2"/>
        <v>949594.89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--4805.85</f>
        <v>4805.8500000000004</v>
      </c>
      <c r="E34" s="2"/>
      <c r="F34" s="22"/>
      <c r="G34" s="2"/>
      <c r="H34" s="2"/>
      <c r="I34" s="2"/>
      <c r="J34" s="22"/>
      <c r="K34" s="2"/>
      <c r="L34" s="2">
        <f t="shared" si="0"/>
        <v>4805.8500000000004</v>
      </c>
      <c r="M34" s="2"/>
      <c r="N34" s="22">
        <f t="shared" si="1"/>
        <v>0</v>
      </c>
      <c r="O34" s="11"/>
      <c r="P34" s="2">
        <f>--76860.94</f>
        <v>76860.94</v>
      </c>
      <c r="Q34" s="2"/>
      <c r="R34" s="22"/>
      <c r="S34" s="2"/>
      <c r="T34" s="2"/>
      <c r="U34" s="2"/>
      <c r="V34" s="22"/>
      <c r="W34" s="2"/>
      <c r="X34" s="2">
        <f t="shared" si="2"/>
        <v>76860.94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--378.99</f>
        <v>378.99</v>
      </c>
      <c r="E35" s="2"/>
      <c r="F35" s="22"/>
      <c r="G35" s="2"/>
      <c r="H35" s="2"/>
      <c r="I35" s="2"/>
      <c r="J35" s="22"/>
      <c r="K35" s="2"/>
      <c r="L35" s="2">
        <f t="shared" si="0"/>
        <v>378.99</v>
      </c>
      <c r="M35" s="2"/>
      <c r="N35" s="22">
        <f t="shared" si="1"/>
        <v>0</v>
      </c>
      <c r="O35" s="11"/>
      <c r="P35" s="2">
        <f>--1499.95</f>
        <v>1499.95</v>
      </c>
      <c r="Q35" s="2"/>
      <c r="R35" s="22"/>
      <c r="S35" s="2"/>
      <c r="T35" s="2"/>
      <c r="U35" s="2"/>
      <c r="V35" s="22"/>
      <c r="W35" s="2"/>
      <c r="X35" s="2">
        <f t="shared" si="2"/>
        <v>1499.95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--260.94</f>
        <v>260.94</v>
      </c>
      <c r="E36" s="2"/>
      <c r="F36" s="22"/>
      <c r="G36" s="2"/>
      <c r="H36" s="2"/>
      <c r="I36" s="2"/>
      <c r="J36" s="22"/>
      <c r="K36" s="2"/>
      <c r="L36" s="2">
        <f t="shared" si="0"/>
        <v>260.94</v>
      </c>
      <c r="M36" s="2"/>
      <c r="N36" s="22">
        <f t="shared" si="1"/>
        <v>0</v>
      </c>
      <c r="O36" s="11"/>
      <c r="P36" s="2">
        <f>--29627.6</f>
        <v>29627.599999999999</v>
      </c>
      <c r="Q36" s="2"/>
      <c r="R36" s="22"/>
      <c r="S36" s="2"/>
      <c r="T36" s="2"/>
      <c r="U36" s="2"/>
      <c r="V36" s="22"/>
      <c r="W36" s="2"/>
      <c r="X36" s="2">
        <f t="shared" si="2"/>
        <v>29627.599999999999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--1333.61</f>
        <v>1333.61</v>
      </c>
      <c r="E37" s="2"/>
      <c r="F37" s="22"/>
      <c r="G37" s="2"/>
      <c r="H37" s="2">
        <v>19178</v>
      </c>
      <c r="I37" s="2"/>
      <c r="J37" s="22"/>
      <c r="K37" s="2"/>
      <c r="L37" s="2">
        <f t="shared" si="0"/>
        <v>-17844.39</v>
      </c>
      <c r="M37" s="2"/>
      <c r="N37" s="22">
        <f t="shared" si="1"/>
        <v>-0.93046146626342685</v>
      </c>
      <c r="O37" s="11"/>
      <c r="P37" s="2">
        <f>--165813.42</f>
        <v>165813.42000000001</v>
      </c>
      <c r="Q37" s="2"/>
      <c r="R37" s="22"/>
      <c r="S37" s="2"/>
      <c r="T37" s="2">
        <v>126400</v>
      </c>
      <c r="U37" s="2"/>
      <c r="V37" s="22"/>
      <c r="W37" s="2"/>
      <c r="X37" s="2">
        <f t="shared" si="2"/>
        <v>39413.420000000013</v>
      </c>
      <c r="Y37" s="2"/>
      <c r="Z37" s="22">
        <f t="shared" si="3"/>
        <v>0.31181503164556973</v>
      </c>
    </row>
    <row r="38" spans="1:26" s="24" customFormat="1" hidden="1" outlineLevel="1" x14ac:dyDescent="0.2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--1270.83</f>
        <v>1270.83</v>
      </c>
      <c r="E38" s="2"/>
      <c r="F38" s="22"/>
      <c r="G38" s="2"/>
      <c r="H38" s="2"/>
      <c r="I38" s="2"/>
      <c r="J38" s="22"/>
      <c r="K38" s="2"/>
      <c r="L38" s="2">
        <f t="shared" si="0"/>
        <v>1270.83</v>
      </c>
      <c r="M38" s="2"/>
      <c r="N38" s="22">
        <f t="shared" si="1"/>
        <v>0</v>
      </c>
      <c r="O38" s="11"/>
      <c r="P38" s="2">
        <f>--78935.72</f>
        <v>78935.72</v>
      </c>
      <c r="Q38" s="2"/>
      <c r="R38" s="22"/>
      <c r="S38" s="2"/>
      <c r="T38" s="2"/>
      <c r="U38" s="2"/>
      <c r="V38" s="22"/>
      <c r="W38" s="2"/>
      <c r="X38" s="2">
        <f t="shared" si="2"/>
        <v>78935.72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--320.72</f>
        <v>320.72000000000003</v>
      </c>
      <c r="E39" s="2"/>
      <c r="F39" s="22"/>
      <c r="G39" s="2"/>
      <c r="H39" s="2"/>
      <c r="I39" s="2"/>
      <c r="J39" s="22"/>
      <c r="K39" s="2"/>
      <c r="L39" s="2">
        <f t="shared" si="0"/>
        <v>320.72000000000003</v>
      </c>
      <c r="M39" s="2"/>
      <c r="N39" s="22">
        <f t="shared" si="1"/>
        <v>0</v>
      </c>
      <c r="O39" s="11"/>
      <c r="P39" s="2">
        <f>--33033.19</f>
        <v>33033.19</v>
      </c>
      <c r="Q39" s="2"/>
      <c r="R39" s="22"/>
      <c r="S39" s="2"/>
      <c r="T39" s="2"/>
      <c r="U39" s="2"/>
      <c r="V39" s="22"/>
      <c r="W39" s="2"/>
      <c r="X39" s="2">
        <f t="shared" si="2"/>
        <v>33033.19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--284.97</f>
        <v>284.97000000000003</v>
      </c>
      <c r="Q40" s="2"/>
      <c r="R40" s="22"/>
      <c r="S40" s="2"/>
      <c r="T40" s="2"/>
      <c r="U40" s="2"/>
      <c r="V40" s="22"/>
      <c r="W40" s="2"/>
      <c r="X40" s="2">
        <f t="shared" si="2"/>
        <v>284.97000000000003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>--1414.19</f>
        <v>1414.19</v>
      </c>
      <c r="E41" s="2"/>
      <c r="F41" s="22"/>
      <c r="G41" s="2"/>
      <c r="H41" s="2"/>
      <c r="I41" s="2"/>
      <c r="J41" s="22"/>
      <c r="K41" s="2"/>
      <c r="L41" s="2">
        <f t="shared" si="0"/>
        <v>1414.19</v>
      </c>
      <c r="M41" s="2"/>
      <c r="N41" s="22">
        <f t="shared" si="1"/>
        <v>0</v>
      </c>
      <c r="O41" s="11"/>
      <c r="P41" s="2">
        <f>--294889.71</f>
        <v>294889.71000000002</v>
      </c>
      <c r="Q41" s="2"/>
      <c r="R41" s="22"/>
      <c r="S41" s="2"/>
      <c r="T41" s="2"/>
      <c r="U41" s="2"/>
      <c r="V41" s="22"/>
      <c r="W41" s="2"/>
      <c r="X41" s="2">
        <f t="shared" si="2"/>
        <v>294889.71000000002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>--630</f>
        <v>630</v>
      </c>
      <c r="E42" s="2"/>
      <c r="F42" s="22"/>
      <c r="G42" s="2"/>
      <c r="H42" s="2"/>
      <c r="I42" s="2"/>
      <c r="J42" s="22"/>
      <c r="K42" s="2"/>
      <c r="L42" s="2">
        <f t="shared" si="0"/>
        <v>630</v>
      </c>
      <c r="M42" s="2"/>
      <c r="N42" s="22">
        <f t="shared" si="1"/>
        <v>0</v>
      </c>
      <c r="O42" s="11"/>
      <c r="P42" s="2">
        <f>--2285.95</f>
        <v>2285.9499999999998</v>
      </c>
      <c r="Q42" s="2"/>
      <c r="R42" s="22"/>
      <c r="S42" s="2"/>
      <c r="T42" s="2"/>
      <c r="U42" s="2"/>
      <c r="V42" s="22"/>
      <c r="W42" s="2"/>
      <c r="X42" s="2">
        <f t="shared" si="2"/>
        <v>2285.9499999999998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>--27.8</f>
        <v>27.8</v>
      </c>
      <c r="E43" s="2"/>
      <c r="F43" s="22"/>
      <c r="G43" s="2"/>
      <c r="H43" s="2"/>
      <c r="I43" s="2"/>
      <c r="J43" s="22"/>
      <c r="K43" s="2"/>
      <c r="L43" s="2">
        <f t="shared" si="0"/>
        <v>27.8</v>
      </c>
      <c r="M43" s="2"/>
      <c r="N43" s="22">
        <f t="shared" si="1"/>
        <v>0</v>
      </c>
      <c r="O43" s="11"/>
      <c r="P43" s="2">
        <f>--233.43</f>
        <v>233.43</v>
      </c>
      <c r="Q43" s="2"/>
      <c r="R43" s="22"/>
      <c r="S43" s="2"/>
      <c r="T43" s="2"/>
      <c r="U43" s="2"/>
      <c r="V43" s="22"/>
      <c r="W43" s="2"/>
      <c r="X43" s="2">
        <f t="shared" si="2"/>
        <v>233.43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--52.68</f>
        <v>52.68</v>
      </c>
      <c r="Q44" s="2"/>
      <c r="R44" s="22"/>
      <c r="S44" s="2"/>
      <c r="T44" s="2"/>
      <c r="U44" s="2"/>
      <c r="V44" s="22"/>
      <c r="W44" s="2"/>
      <c r="X44" s="2">
        <f t="shared" si="2"/>
        <v>52.68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>--114.89</f>
        <v>114.89</v>
      </c>
      <c r="E45" s="2"/>
      <c r="F45" s="22"/>
      <c r="G45" s="2"/>
      <c r="H45" s="2"/>
      <c r="I45" s="2"/>
      <c r="J45" s="22"/>
      <c r="K45" s="2"/>
      <c r="L45" s="2">
        <f t="shared" si="0"/>
        <v>114.89</v>
      </c>
      <c r="M45" s="2"/>
      <c r="N45" s="22">
        <f t="shared" si="1"/>
        <v>0</v>
      </c>
      <c r="O45" s="11"/>
      <c r="P45" s="2">
        <f>--2946.58</f>
        <v>2946.58</v>
      </c>
      <c r="Q45" s="2"/>
      <c r="R45" s="22"/>
      <c r="S45" s="2"/>
      <c r="T45" s="2"/>
      <c r="U45" s="2"/>
      <c r="V45" s="22"/>
      <c r="W45" s="2"/>
      <c r="X45" s="2">
        <f t="shared" si="2"/>
        <v>2946.58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"4128", " - ", "NON-TAXABLE SALES-ART/TECH")</f>
        <v xml:space="preserve">          4128 - NON-TAXABLE SALES-ART/TECH</v>
      </c>
      <c r="C46" s="11"/>
      <c r="D46" s="2">
        <f>--24.78</f>
        <v>24.78</v>
      </c>
      <c r="E46" s="2"/>
      <c r="F46" s="22"/>
      <c r="G46" s="2"/>
      <c r="H46" s="2"/>
      <c r="I46" s="2"/>
      <c r="J46" s="22"/>
      <c r="K46" s="2"/>
      <c r="L46" s="2">
        <f t="shared" si="0"/>
        <v>24.78</v>
      </c>
      <c r="M46" s="2"/>
      <c r="N46" s="22">
        <f t="shared" si="1"/>
        <v>0</v>
      </c>
      <c r="O46" s="11"/>
      <c r="P46" s="2">
        <f>--24.78</f>
        <v>24.78</v>
      </c>
      <c r="Q46" s="2"/>
      <c r="R46" s="22"/>
      <c r="S46" s="2"/>
      <c r="T46" s="2"/>
      <c r="U46" s="2"/>
      <c r="V46" s="22"/>
      <c r="W46" s="2"/>
      <c r="X46" s="2">
        <f t="shared" si="2"/>
        <v>24.78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"4131", " - ", "NON-TAXABLE SALES-FOOD")</f>
        <v xml:space="preserve">          4131 - NON-TAXABLE SALES-FOOD</v>
      </c>
      <c r="C47" s="11"/>
      <c r="D47" s="2">
        <f>--983.89</f>
        <v>983.89</v>
      </c>
      <c r="E47" s="2"/>
      <c r="F47" s="22"/>
      <c r="G47" s="2"/>
      <c r="H47" s="2"/>
      <c r="I47" s="2"/>
      <c r="J47" s="22"/>
      <c r="K47" s="2"/>
      <c r="L47" s="2">
        <f t="shared" si="0"/>
        <v>983.89</v>
      </c>
      <c r="M47" s="2"/>
      <c r="N47" s="22">
        <f t="shared" si="1"/>
        <v>0</v>
      </c>
      <c r="O47" s="11"/>
      <c r="P47" s="2">
        <f>--6509.33</f>
        <v>6509.33</v>
      </c>
      <c r="Q47" s="2"/>
      <c r="R47" s="22"/>
      <c r="S47" s="2"/>
      <c r="T47" s="2"/>
      <c r="U47" s="2"/>
      <c r="V47" s="22"/>
      <c r="W47" s="2"/>
      <c r="X47" s="2">
        <f t="shared" si="2"/>
        <v>6509.33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ref="D48:D51" si="6">0</f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--22.49</f>
        <v>22.49</v>
      </c>
      <c r="Q48" s="2"/>
      <c r="R48" s="22"/>
      <c r="S48" s="2"/>
      <c r="T48" s="2"/>
      <c r="U48" s="2"/>
      <c r="V48" s="22"/>
      <c r="W48" s="2"/>
      <c r="X48" s="2">
        <f t="shared" si="2"/>
        <v>22.49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6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--80.71</f>
        <v>80.709999999999994</v>
      </c>
      <c r="Q49" s="2"/>
      <c r="R49" s="22"/>
      <c r="S49" s="2"/>
      <c r="T49" s="2"/>
      <c r="U49" s="2"/>
      <c r="V49" s="22"/>
      <c r="W49" s="2"/>
      <c r="X49" s="2">
        <f t="shared" si="2"/>
        <v>80.709999999999994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6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--45.53</f>
        <v>45.53</v>
      </c>
      <c r="Q50" s="2"/>
      <c r="R50" s="22"/>
      <c r="S50" s="2"/>
      <c r="T50" s="2"/>
      <c r="U50" s="2"/>
      <c r="V50" s="22"/>
      <c r="W50" s="2"/>
      <c r="X50" s="2">
        <f t="shared" si="2"/>
        <v>45.53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6"/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--68.25</f>
        <v>68.25</v>
      </c>
      <c r="Q51" s="2"/>
      <c r="R51" s="22"/>
      <c r="S51" s="2"/>
      <c r="T51" s="2"/>
      <c r="U51" s="2"/>
      <c r="V51" s="22"/>
      <c r="W51" s="2"/>
      <c r="X51" s="2">
        <f t="shared" si="2"/>
        <v>68.25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>--19704.79</f>
        <v>19704.79</v>
      </c>
      <c r="E52" s="2"/>
      <c r="F52" s="22"/>
      <c r="G52" s="2"/>
      <c r="H52" s="2"/>
      <c r="I52" s="2"/>
      <c r="J52" s="22"/>
      <c r="K52" s="2"/>
      <c r="L52" s="2">
        <f t="shared" si="0"/>
        <v>19704.79</v>
      </c>
      <c r="M52" s="2"/>
      <c r="N52" s="22">
        <f t="shared" si="1"/>
        <v>0</v>
      </c>
      <c r="O52" s="11"/>
      <c r="P52" s="2">
        <f>--50320.27</f>
        <v>50320.27</v>
      </c>
      <c r="Q52" s="2"/>
      <c r="R52" s="22"/>
      <c r="S52" s="2"/>
      <c r="T52" s="2"/>
      <c r="U52" s="2"/>
      <c r="V52" s="22"/>
      <c r="W52" s="2"/>
      <c r="X52" s="2">
        <f t="shared" si="2"/>
        <v>50320.27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"4141", " - ", "NON-TAXABLE SALES-LOGO GIFTS")</f>
        <v xml:space="preserve">          4141 - NON-TAXABLE SALES-LOGO GIFTS</v>
      </c>
      <c r="C53" s="11"/>
      <c r="D53" s="2">
        <f>--806.32</f>
        <v>806.32</v>
      </c>
      <c r="E53" s="2"/>
      <c r="F53" s="22"/>
      <c r="G53" s="2"/>
      <c r="H53" s="2"/>
      <c r="I53" s="2"/>
      <c r="J53" s="22"/>
      <c r="K53" s="2"/>
      <c r="L53" s="2">
        <f t="shared" si="0"/>
        <v>806.32</v>
      </c>
      <c r="M53" s="2"/>
      <c r="N53" s="22">
        <f t="shared" si="1"/>
        <v>0</v>
      </c>
      <c r="O53" s="11"/>
      <c r="P53" s="2">
        <f>--4189.02</f>
        <v>4189.0200000000004</v>
      </c>
      <c r="Q53" s="2"/>
      <c r="R53" s="22"/>
      <c r="S53" s="2"/>
      <c r="T53" s="2"/>
      <c r="U53" s="2"/>
      <c r="V53" s="22"/>
      <c r="W53" s="2"/>
      <c r="X53" s="2">
        <f t="shared" si="2"/>
        <v>4189.0200000000004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>--887.78</f>
        <v>887.78</v>
      </c>
      <c r="E54" s="2"/>
      <c r="F54" s="22"/>
      <c r="G54" s="2"/>
      <c r="H54" s="2"/>
      <c r="I54" s="2"/>
      <c r="J54" s="22"/>
      <c r="K54" s="2"/>
      <c r="L54" s="2">
        <f t="shared" si="0"/>
        <v>887.78</v>
      </c>
      <c r="M54" s="2"/>
      <c r="N54" s="22">
        <f t="shared" si="1"/>
        <v>0</v>
      </c>
      <c r="O54" s="11"/>
      <c r="P54" s="2">
        <f>--2208.19</f>
        <v>2208.19</v>
      </c>
      <c r="Q54" s="2"/>
      <c r="R54" s="22"/>
      <c r="S54" s="2"/>
      <c r="T54" s="2"/>
      <c r="U54" s="2"/>
      <c r="V54" s="22"/>
      <c r="W54" s="2"/>
      <c r="X54" s="2">
        <f t="shared" si="2"/>
        <v>2208.19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"4143", " - ", "NON-TAXABLE SALES-CARDS")</f>
        <v xml:space="preserve">          4143 - NON-TAXABLE SALES-CARDS</v>
      </c>
      <c r="C55" s="11"/>
      <c r="D55" s="2">
        <f>--9.99</f>
        <v>9.99</v>
      </c>
      <c r="E55" s="2"/>
      <c r="F55" s="22"/>
      <c r="G55" s="2"/>
      <c r="H55" s="2"/>
      <c r="I55" s="2"/>
      <c r="J55" s="22"/>
      <c r="K55" s="2"/>
      <c r="L55" s="2">
        <f t="shared" si="0"/>
        <v>9.99</v>
      </c>
      <c r="M55" s="2"/>
      <c r="N55" s="22">
        <f t="shared" si="1"/>
        <v>0</v>
      </c>
      <c r="O55" s="11"/>
      <c r="P55" s="2">
        <f>--39.96</f>
        <v>39.96</v>
      </c>
      <c r="Q55" s="2"/>
      <c r="R55" s="22"/>
      <c r="S55" s="2"/>
      <c r="T55" s="2"/>
      <c r="U55" s="2"/>
      <c r="V55" s="22"/>
      <c r="W55" s="2"/>
      <c r="X55" s="2">
        <f t="shared" si="2"/>
        <v>39.96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>--19.95</f>
        <v>19.95</v>
      </c>
      <c r="E56" s="2"/>
      <c r="F56" s="22"/>
      <c r="G56" s="2"/>
      <c r="H56" s="2"/>
      <c r="I56" s="2"/>
      <c r="J56" s="22"/>
      <c r="K56" s="2"/>
      <c r="L56" s="2">
        <f t="shared" si="0"/>
        <v>19.95</v>
      </c>
      <c r="M56" s="2"/>
      <c r="N56" s="22">
        <f t="shared" si="1"/>
        <v>0</v>
      </c>
      <c r="O56" s="11"/>
      <c r="P56" s="2">
        <f>--389.7</f>
        <v>389.7</v>
      </c>
      <c r="Q56" s="2"/>
      <c r="R56" s="22"/>
      <c r="S56" s="2"/>
      <c r="T56" s="2"/>
      <c r="U56" s="2"/>
      <c r="V56" s="22"/>
      <c r="W56" s="2"/>
      <c r="X56" s="2">
        <f t="shared" si="2"/>
        <v>389.7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>--2800</f>
        <v>2800</v>
      </c>
      <c r="E57" s="2"/>
      <c r="F57" s="22"/>
      <c r="G57" s="2"/>
      <c r="H57" s="2"/>
      <c r="I57" s="2"/>
      <c r="J57" s="22"/>
      <c r="K57" s="2"/>
      <c r="L57" s="2">
        <f t="shared" si="0"/>
        <v>2800</v>
      </c>
      <c r="M57" s="2"/>
      <c r="N57" s="22">
        <f t="shared" si="1"/>
        <v>0</v>
      </c>
      <c r="O57" s="11"/>
      <c r="P57" s="2">
        <f>--38646</f>
        <v>38646</v>
      </c>
      <c r="Q57" s="2"/>
      <c r="R57" s="22"/>
      <c r="S57" s="2"/>
      <c r="T57" s="2"/>
      <c r="U57" s="2"/>
      <c r="V57" s="22"/>
      <c r="W57" s="2"/>
      <c r="X57" s="2">
        <f t="shared" si="2"/>
        <v>38646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>--21.5</f>
        <v>21.5</v>
      </c>
      <c r="E58" s="2"/>
      <c r="F58" s="22"/>
      <c r="G58" s="2"/>
      <c r="H58" s="2"/>
      <c r="I58" s="2"/>
      <c r="J58" s="22"/>
      <c r="K58" s="2"/>
      <c r="L58" s="2">
        <f t="shared" si="0"/>
        <v>21.5</v>
      </c>
      <c r="M58" s="2"/>
      <c r="N58" s="22">
        <f t="shared" si="1"/>
        <v>0</v>
      </c>
      <c r="O58" s="11"/>
      <c r="P58" s="2">
        <f>--108</f>
        <v>108</v>
      </c>
      <c r="Q58" s="2"/>
      <c r="R58" s="22"/>
      <c r="S58" s="2"/>
      <c r="T58" s="2"/>
      <c r="U58" s="2"/>
      <c r="V58" s="22"/>
      <c r="W58" s="2"/>
      <c r="X58" s="2">
        <f t="shared" si="2"/>
        <v>108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"4147", " - ", "NON-TAXABLE SALES-MISC")</f>
        <v xml:space="preserve">          4147 - NON-TAXABLE SALES-MISC</v>
      </c>
      <c r="C59" s="11"/>
      <c r="D59" s="2">
        <f>--5</f>
        <v>5</v>
      </c>
      <c r="E59" s="2"/>
      <c r="F59" s="22"/>
      <c r="G59" s="2"/>
      <c r="H59" s="2"/>
      <c r="I59" s="2"/>
      <c r="J59" s="22"/>
      <c r="K59" s="2"/>
      <c r="L59" s="2">
        <f t="shared" si="0"/>
        <v>5</v>
      </c>
      <c r="M59" s="2"/>
      <c r="N59" s="22">
        <f t="shared" si="1"/>
        <v>0</v>
      </c>
      <c r="O59" s="11"/>
      <c r="P59" s="2">
        <f>--91.5</f>
        <v>91.5</v>
      </c>
      <c r="Q59" s="2"/>
      <c r="R59" s="22"/>
      <c r="S59" s="2"/>
      <c r="T59" s="2"/>
      <c r="U59" s="2"/>
      <c r="V59" s="22"/>
      <c r="W59" s="2"/>
      <c r="X59" s="2">
        <f t="shared" si="2"/>
        <v>91.5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>--29.99</f>
        <v>29.99</v>
      </c>
      <c r="E60" s="2"/>
      <c r="F60" s="22"/>
      <c r="G60" s="2"/>
      <c r="H60" s="2"/>
      <c r="I60" s="2"/>
      <c r="J60" s="22"/>
      <c r="K60" s="2"/>
      <c r="L60" s="2">
        <f t="shared" si="0"/>
        <v>29.99</v>
      </c>
      <c r="M60" s="2"/>
      <c r="N60" s="22">
        <f t="shared" si="1"/>
        <v>0</v>
      </c>
      <c r="O60" s="11"/>
      <c r="P60" s="2">
        <f>--3534.12</f>
        <v>3534.12</v>
      </c>
      <c r="Q60" s="2"/>
      <c r="R60" s="22"/>
      <c r="S60" s="2"/>
      <c r="T60" s="2"/>
      <c r="U60" s="2"/>
      <c r="V60" s="22"/>
      <c r="W60" s="2"/>
      <c r="X60" s="2">
        <f t="shared" si="2"/>
        <v>3534.12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>--9499.97</f>
        <v>9499.9699999999993</v>
      </c>
      <c r="E61" s="2"/>
      <c r="F61" s="22"/>
      <c r="G61" s="2"/>
      <c r="H61" s="2"/>
      <c r="I61" s="2"/>
      <c r="J61" s="22"/>
      <c r="K61" s="2"/>
      <c r="L61" s="2">
        <f t="shared" si="0"/>
        <v>9499.9699999999993</v>
      </c>
      <c r="M61" s="2"/>
      <c r="N61" s="22">
        <f t="shared" si="1"/>
        <v>0</v>
      </c>
      <c r="O61" s="11"/>
      <c r="P61" s="2">
        <f>--154794.35</f>
        <v>154794.35</v>
      </c>
      <c r="Q61" s="2"/>
      <c r="R61" s="22"/>
      <c r="S61" s="2"/>
      <c r="T61" s="2"/>
      <c r="U61" s="2"/>
      <c r="V61" s="22"/>
      <c r="W61" s="2"/>
      <c r="X61" s="2">
        <f t="shared" si="2"/>
        <v>154794.35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>--1033.89</f>
        <v>1033.8900000000001</v>
      </c>
      <c r="E62" s="2"/>
      <c r="F62" s="22"/>
      <c r="G62" s="2"/>
      <c r="H62" s="2"/>
      <c r="I62" s="2"/>
      <c r="J62" s="22"/>
      <c r="K62" s="2"/>
      <c r="L62" s="2">
        <f t="shared" si="0"/>
        <v>1033.8900000000001</v>
      </c>
      <c r="M62" s="2"/>
      <c r="N62" s="22">
        <f t="shared" si="1"/>
        <v>0</v>
      </c>
      <c r="O62" s="11"/>
      <c r="P62" s="2">
        <f>--7370.28</f>
        <v>7370.28</v>
      </c>
      <c r="Q62" s="2"/>
      <c r="R62" s="22"/>
      <c r="S62" s="2"/>
      <c r="T62" s="2"/>
      <c r="U62" s="2"/>
      <c r="V62" s="22"/>
      <c r="W62" s="2"/>
      <c r="X62" s="2">
        <f t="shared" si="2"/>
        <v>7370.28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"4185", " - ", "NON-TAXABLE SALES-SOFTWARE")</f>
        <v xml:space="preserve">          4185 - NON-TAXABLE SALES-SOFTWARE</v>
      </c>
      <c r="C63" s="11"/>
      <c r="D63" s="2">
        <f>--1989.89</f>
        <v>1989.89</v>
      </c>
      <c r="E63" s="2"/>
      <c r="F63" s="22"/>
      <c r="G63" s="2"/>
      <c r="H63" s="2"/>
      <c r="I63" s="2"/>
      <c r="J63" s="22"/>
      <c r="K63" s="2"/>
      <c r="L63" s="2">
        <f t="shared" si="0"/>
        <v>1989.89</v>
      </c>
      <c r="M63" s="2"/>
      <c r="N63" s="22">
        <f t="shared" si="1"/>
        <v>0</v>
      </c>
      <c r="O63" s="11"/>
      <c r="P63" s="2">
        <f>--25806.74</f>
        <v>25806.74</v>
      </c>
      <c r="Q63" s="2"/>
      <c r="R63" s="22"/>
      <c r="S63" s="2"/>
      <c r="T63" s="2"/>
      <c r="U63" s="2"/>
      <c r="V63" s="22"/>
      <c r="W63" s="2"/>
      <c r="X63" s="2">
        <f t="shared" si="2"/>
        <v>25806.74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>--44</f>
        <v>44</v>
      </c>
      <c r="E64" s="2"/>
      <c r="F64" s="22"/>
      <c r="G64" s="2"/>
      <c r="H64" s="2"/>
      <c r="I64" s="2"/>
      <c r="J64" s="22"/>
      <c r="K64" s="2"/>
      <c r="L64" s="2">
        <f t="shared" si="0"/>
        <v>44</v>
      </c>
      <c r="M64" s="2"/>
      <c r="N64" s="22">
        <f t="shared" si="1"/>
        <v>0</v>
      </c>
      <c r="O64" s="11"/>
      <c r="P64" s="2">
        <f>--1773.77</f>
        <v>1773.77</v>
      </c>
      <c r="Q64" s="2"/>
      <c r="R64" s="22"/>
      <c r="S64" s="2"/>
      <c r="T64" s="2"/>
      <c r="U64" s="2"/>
      <c r="V64" s="22"/>
      <c r="W64" s="2"/>
      <c r="X64" s="2">
        <f t="shared" si="2"/>
        <v>1773.77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"4201", " - ", "SALES RETURN TAXABLE-NEW TEXT")</f>
        <v xml:space="preserve">          4201 - SALES RETURN TAXABLE-NEW TEXT</v>
      </c>
      <c r="C65" s="11"/>
      <c r="D65" s="2">
        <f>-1333.42</f>
        <v>-1333.42</v>
      </c>
      <c r="E65" s="2"/>
      <c r="F65" s="22"/>
      <c r="G65" s="2"/>
      <c r="H65" s="2"/>
      <c r="I65" s="2"/>
      <c r="J65" s="22"/>
      <c r="K65" s="2"/>
      <c r="L65" s="2">
        <f t="shared" si="0"/>
        <v>-1333.42</v>
      </c>
      <c r="M65" s="2"/>
      <c r="N65" s="22">
        <f t="shared" si="1"/>
        <v>0</v>
      </c>
      <c r="O65" s="11"/>
      <c r="P65" s="2">
        <f>-35094.66</f>
        <v>-35094.660000000003</v>
      </c>
      <c r="Q65" s="2"/>
      <c r="R65" s="22"/>
      <c r="S65" s="2"/>
      <c r="T65" s="2"/>
      <c r="U65" s="2"/>
      <c r="V65" s="22"/>
      <c r="W65" s="2"/>
      <c r="X65" s="2">
        <f t="shared" si="2"/>
        <v>-35094.660000000003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"4202", " - ", "SALES RETURN TAXABLE-USED TEXT")</f>
        <v xml:space="preserve">          4202 - SALES RETURN TAXABLE-USED TEXT</v>
      </c>
      <c r="C66" s="11"/>
      <c r="D66" s="2">
        <f>-3274.35</f>
        <v>-3274.35</v>
      </c>
      <c r="E66" s="2"/>
      <c r="F66" s="22"/>
      <c r="G66" s="2"/>
      <c r="H66" s="2"/>
      <c r="I66" s="2"/>
      <c r="J66" s="22"/>
      <c r="K66" s="2"/>
      <c r="L66" s="2">
        <f t="shared" si="0"/>
        <v>-3274.35</v>
      </c>
      <c r="M66" s="2"/>
      <c r="N66" s="22">
        <f t="shared" si="1"/>
        <v>0</v>
      </c>
      <c r="O66" s="11"/>
      <c r="P66" s="2">
        <f>-13803.35</f>
        <v>-13803.35</v>
      </c>
      <c r="Q66" s="2"/>
      <c r="R66" s="22"/>
      <c r="S66" s="2"/>
      <c r="T66" s="2"/>
      <c r="U66" s="2"/>
      <c r="V66" s="22"/>
      <c r="W66" s="2"/>
      <c r="X66" s="2">
        <f t="shared" si="2"/>
        <v>-13803.35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"4204", " - ", "SALES RETURN TAXABLE-DIGITAL T")</f>
        <v xml:space="preserve">          4204 - SALES RETURN TAXABLE-DIGITAL T</v>
      </c>
      <c r="C67" s="11"/>
      <c r="D67" s="2">
        <f t="shared" ref="D67:D68" si="7">0</f>
        <v>0</v>
      </c>
      <c r="E67" s="2"/>
      <c r="F67" s="22"/>
      <c r="G67" s="2"/>
      <c r="H67" s="2"/>
      <c r="I67" s="2"/>
      <c r="J67" s="22"/>
      <c r="K67" s="2"/>
      <c r="L67" s="2">
        <f t="shared" si="0"/>
        <v>0</v>
      </c>
      <c r="M67" s="2"/>
      <c r="N67" s="22">
        <f t="shared" si="1"/>
        <v>0</v>
      </c>
      <c r="O67" s="11"/>
      <c r="P67" s="2">
        <f>-1630.85</f>
        <v>-1630.85</v>
      </c>
      <c r="Q67" s="2"/>
      <c r="R67" s="22"/>
      <c r="S67" s="2"/>
      <c r="T67" s="2"/>
      <c r="U67" s="2"/>
      <c r="V67" s="22"/>
      <c r="W67" s="2"/>
      <c r="X67" s="2">
        <f t="shared" si="2"/>
        <v>-1630.85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"4226", " - ", "SALES RETURN TAXABLE-WRITING I")</f>
        <v xml:space="preserve">          4226 - SALES RETURN TAXABLE-WRITING I</v>
      </c>
      <c r="C68" s="11"/>
      <c r="D68" s="2">
        <f t="shared" si="7"/>
        <v>0</v>
      </c>
      <c r="E68" s="2"/>
      <c r="F68" s="22"/>
      <c r="G68" s="2"/>
      <c r="H68" s="2"/>
      <c r="I68" s="2"/>
      <c r="J68" s="22"/>
      <c r="K68" s="2"/>
      <c r="L68" s="2">
        <f t="shared" si="0"/>
        <v>0</v>
      </c>
      <c r="M68" s="2"/>
      <c r="N68" s="22">
        <f t="shared" si="1"/>
        <v>0</v>
      </c>
      <c r="O68" s="11"/>
      <c r="P68" s="2">
        <f>-34.23</f>
        <v>-34.229999999999997</v>
      </c>
      <c r="Q68" s="2"/>
      <c r="R68" s="22"/>
      <c r="S68" s="2"/>
      <c r="T68" s="2"/>
      <c r="U68" s="2"/>
      <c r="V68" s="22"/>
      <c r="W68" s="2"/>
      <c r="X68" s="2">
        <f t="shared" si="2"/>
        <v>-34.229999999999997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"4227", " - ", "SALES RETURN TAXABLE-SCHOOL SU")</f>
        <v xml:space="preserve">          4227 - SALES RETURN TAXABLE-SCHOOL SU</v>
      </c>
      <c r="C69" s="11"/>
      <c r="D69" s="2">
        <f>-31.98</f>
        <v>-31.98</v>
      </c>
      <c r="E69" s="2"/>
      <c r="F69" s="22"/>
      <c r="G69" s="2"/>
      <c r="H69" s="2"/>
      <c r="I69" s="2"/>
      <c r="J69" s="22"/>
      <c r="K69" s="2"/>
      <c r="L69" s="2">
        <f t="shared" si="0"/>
        <v>-31.98</v>
      </c>
      <c r="M69" s="2"/>
      <c r="N69" s="22">
        <f t="shared" si="1"/>
        <v>0</v>
      </c>
      <c r="O69" s="11"/>
      <c r="P69" s="2">
        <f>-610.64</f>
        <v>-610.64</v>
      </c>
      <c r="Q69" s="2"/>
      <c r="R69" s="22"/>
      <c r="S69" s="2"/>
      <c r="T69" s="2"/>
      <c r="U69" s="2"/>
      <c r="V69" s="22"/>
      <c r="W69" s="2"/>
      <c r="X69" s="2">
        <f t="shared" si="2"/>
        <v>-610.64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"4228", " - ", "SALES RETURN TAXABLE-ART/TECH")</f>
        <v xml:space="preserve">          4228 - SALES RETURN TAXABLE-ART/TECH</v>
      </c>
      <c r="C70" s="11"/>
      <c r="D70" s="2">
        <f>-32.49</f>
        <v>-32.49</v>
      </c>
      <c r="E70" s="2"/>
      <c r="F70" s="22"/>
      <c r="G70" s="2"/>
      <c r="H70" s="2"/>
      <c r="I70" s="2"/>
      <c r="J70" s="22"/>
      <c r="K70" s="2"/>
      <c r="L70" s="2">
        <f t="shared" si="0"/>
        <v>-32.49</v>
      </c>
      <c r="M70" s="2"/>
      <c r="N70" s="22">
        <f t="shared" si="1"/>
        <v>0</v>
      </c>
      <c r="O70" s="11"/>
      <c r="P70" s="2">
        <f>-254.69</f>
        <v>-254.69</v>
      </c>
      <c r="Q70" s="2"/>
      <c r="R70" s="22"/>
      <c r="S70" s="2"/>
      <c r="T70" s="2"/>
      <c r="U70" s="2"/>
      <c r="V70" s="22"/>
      <c r="W70" s="2"/>
      <c r="X70" s="2">
        <f t="shared" si="2"/>
        <v>-254.69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"4240", " - ", "SALES RETURN TAXABLE-LOGO CLOT")</f>
        <v xml:space="preserve">          4240 - SALES RETURN TAXABLE-LOGO CLOT</v>
      </c>
      <c r="C71" s="11"/>
      <c r="D71" s="2">
        <f>-1729.15</f>
        <v>-1729.15</v>
      </c>
      <c r="E71" s="2"/>
      <c r="F71" s="22"/>
      <c r="G71" s="2"/>
      <c r="H71" s="2"/>
      <c r="I71" s="2"/>
      <c r="J71" s="22"/>
      <c r="K71" s="2"/>
      <c r="L71" s="2">
        <f t="shared" si="0"/>
        <v>-1729.15</v>
      </c>
      <c r="M71" s="2"/>
      <c r="N71" s="22">
        <f t="shared" si="1"/>
        <v>0</v>
      </c>
      <c r="O71" s="11"/>
      <c r="P71" s="2">
        <f>-15578.67</f>
        <v>-15578.67</v>
      </c>
      <c r="Q71" s="2"/>
      <c r="R71" s="22"/>
      <c r="S71" s="2"/>
      <c r="T71" s="2"/>
      <c r="U71" s="2"/>
      <c r="V71" s="22"/>
      <c r="W71" s="2"/>
      <c r="X71" s="2">
        <f t="shared" si="2"/>
        <v>-15578.67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"4241", " - ", "SALES RETURN TAXABLE-LOGO GIFT")</f>
        <v xml:space="preserve">          4241 - SALES RETURN TAXABLE-LOGO GIFT</v>
      </c>
      <c r="C72" s="11"/>
      <c r="D72" s="2">
        <f>-108.29</f>
        <v>-108.29</v>
      </c>
      <c r="E72" s="2"/>
      <c r="F72" s="22"/>
      <c r="G72" s="2"/>
      <c r="H72" s="2"/>
      <c r="I72" s="2"/>
      <c r="J72" s="22"/>
      <c r="K72" s="2"/>
      <c r="L72" s="2">
        <f t="shared" si="0"/>
        <v>-108.29</v>
      </c>
      <c r="M72" s="2"/>
      <c r="N72" s="22">
        <f t="shared" si="1"/>
        <v>0</v>
      </c>
      <c r="O72" s="11"/>
      <c r="P72" s="2">
        <f>-2804.85</f>
        <v>-2804.85</v>
      </c>
      <c r="Q72" s="2"/>
      <c r="R72" s="22"/>
      <c r="S72" s="2"/>
      <c r="T72" s="2"/>
      <c r="U72" s="2"/>
      <c r="V72" s="22"/>
      <c r="W72" s="2"/>
      <c r="X72" s="2">
        <f t="shared" si="2"/>
        <v>-2804.85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"4242", " - ", "SALES RETURN TAXABLE-EVERYDAY")</f>
        <v xml:space="preserve">          4242 - SALES RETURN TAXABLE-EVERYDAY</v>
      </c>
      <c r="C73" s="11"/>
      <c r="D73" s="2">
        <f>-7.48</f>
        <v>-7.48</v>
      </c>
      <c r="E73" s="2"/>
      <c r="F73" s="22"/>
      <c r="G73" s="2"/>
      <c r="H73" s="2"/>
      <c r="I73" s="2"/>
      <c r="J73" s="22"/>
      <c r="K73" s="2"/>
      <c r="L73" s="2">
        <f t="shared" si="0"/>
        <v>-7.48</v>
      </c>
      <c r="M73" s="2"/>
      <c r="N73" s="22">
        <f t="shared" si="1"/>
        <v>0</v>
      </c>
      <c r="O73" s="11"/>
      <c r="P73" s="2">
        <f>-1328.99</f>
        <v>-1328.99</v>
      </c>
      <c r="Q73" s="2"/>
      <c r="R73" s="22"/>
      <c r="S73" s="2"/>
      <c r="T73" s="2"/>
      <c r="U73" s="2"/>
      <c r="V73" s="22"/>
      <c r="W73" s="2"/>
      <c r="X73" s="2">
        <f t="shared" si="2"/>
        <v>-1328.99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"4243", " - ", "SALES RETURN TAXABLE-CARDS")</f>
        <v xml:space="preserve">          4243 - SALES RETURN TAXABLE-CARDS</v>
      </c>
      <c r="C74" s="11"/>
      <c r="D74" s="2">
        <f>-829.54</f>
        <v>-829.54</v>
      </c>
      <c r="E74" s="2"/>
      <c r="F74" s="22"/>
      <c r="G74" s="2"/>
      <c r="H74" s="2"/>
      <c r="I74" s="2"/>
      <c r="J74" s="22"/>
      <c r="K74" s="2"/>
      <c r="L74" s="2">
        <f t="shared" si="0"/>
        <v>-829.54</v>
      </c>
      <c r="M74" s="2"/>
      <c r="N74" s="22">
        <f t="shared" si="1"/>
        <v>0</v>
      </c>
      <c r="O74" s="11"/>
      <c r="P74" s="2">
        <f>-1812.46</f>
        <v>-1812.46</v>
      </c>
      <c r="Q74" s="2"/>
      <c r="R74" s="22"/>
      <c r="S74" s="2"/>
      <c r="T74" s="2"/>
      <c r="U74" s="2"/>
      <c r="V74" s="22"/>
      <c r="W74" s="2"/>
      <c r="X74" s="2">
        <f t="shared" si="2"/>
        <v>-1812.46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"4244", " - ", "SALES RETURN TAXABLE-ACCESSORI")</f>
        <v xml:space="preserve">          4244 - SALES RETURN TAXABLE-ACCESSORI</v>
      </c>
      <c r="C75" s="11"/>
      <c r="D75" s="2">
        <f>-179.95</f>
        <v>-179.95</v>
      </c>
      <c r="E75" s="2"/>
      <c r="F75" s="22"/>
      <c r="G75" s="2"/>
      <c r="H75" s="2"/>
      <c r="I75" s="2"/>
      <c r="J75" s="22"/>
      <c r="K75" s="2"/>
      <c r="L75" s="2">
        <f t="shared" si="0"/>
        <v>-179.95</v>
      </c>
      <c r="M75" s="2"/>
      <c r="N75" s="22">
        <f t="shared" si="1"/>
        <v>0</v>
      </c>
      <c r="O75" s="11"/>
      <c r="P75" s="2">
        <f>-590.94</f>
        <v>-590.94000000000005</v>
      </c>
      <c r="Q75" s="2"/>
      <c r="R75" s="22"/>
      <c r="S75" s="2"/>
      <c r="T75" s="2"/>
      <c r="U75" s="2"/>
      <c r="V75" s="22"/>
      <c r="W75" s="2"/>
      <c r="X75" s="2">
        <f t="shared" si="2"/>
        <v>-590.94000000000005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"4245", " - ", "SALES RETURN TAXABLE-SPECIAL O")</f>
        <v xml:space="preserve">          4245 - SALES RETURN TAXABLE-SPECIAL O</v>
      </c>
      <c r="C76" s="11"/>
      <c r="D76" s="2">
        <f>-45.89</f>
        <v>-45.89</v>
      </c>
      <c r="E76" s="2"/>
      <c r="F76" s="22"/>
      <c r="G76" s="2"/>
      <c r="H76" s="2"/>
      <c r="I76" s="2"/>
      <c r="J76" s="22"/>
      <c r="K76" s="2"/>
      <c r="L76" s="2">
        <f t="shared" si="0"/>
        <v>-45.89</v>
      </c>
      <c r="M76" s="2"/>
      <c r="N76" s="22">
        <f t="shared" si="1"/>
        <v>0</v>
      </c>
      <c r="O76" s="11"/>
      <c r="P76" s="2">
        <f>-1592.82</f>
        <v>-1592.82</v>
      </c>
      <c r="Q76" s="2"/>
      <c r="R76" s="22"/>
      <c r="S76" s="2"/>
      <c r="T76" s="2"/>
      <c r="U76" s="2"/>
      <c r="V76" s="22"/>
      <c r="W76" s="2"/>
      <c r="X76" s="2">
        <f t="shared" si="2"/>
        <v>-1592.82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"4281", " - ", "SALES RETURN TAXABLE-ELECTRONI")</f>
        <v xml:space="preserve">          4281 - SALES RETURN TAXABLE-ELECTRONI</v>
      </c>
      <c r="C77" s="11"/>
      <c r="D77" s="2">
        <f>0</f>
        <v>0</v>
      </c>
      <c r="E77" s="2"/>
      <c r="F77" s="22"/>
      <c r="G77" s="2"/>
      <c r="H77" s="2"/>
      <c r="I77" s="2"/>
      <c r="J77" s="22"/>
      <c r="K77" s="2"/>
      <c r="L77" s="2">
        <f t="shared" si="0"/>
        <v>0</v>
      </c>
      <c r="M77" s="2"/>
      <c r="N77" s="22">
        <f t="shared" si="1"/>
        <v>0</v>
      </c>
      <c r="O77" s="11"/>
      <c r="P77" s="2">
        <f>-14632.15</f>
        <v>-14632.15</v>
      </c>
      <c r="Q77" s="2"/>
      <c r="R77" s="22"/>
      <c r="S77" s="2"/>
      <c r="T77" s="2"/>
      <c r="U77" s="2"/>
      <c r="V77" s="22"/>
      <c r="W77" s="2"/>
      <c r="X77" s="2">
        <f t="shared" si="2"/>
        <v>-14632.15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"4282", " - ", "SALES RETURN TAXABLE-COMPUTER")</f>
        <v xml:space="preserve">          4282 - SALES RETURN TAXABLE-COMPUTER</v>
      </c>
      <c r="C78" s="11"/>
      <c r="D78" s="2">
        <f>-15761.01</f>
        <v>-15761.01</v>
      </c>
      <c r="E78" s="2"/>
      <c r="F78" s="22"/>
      <c r="G78" s="2"/>
      <c r="H78" s="2"/>
      <c r="I78" s="2"/>
      <c r="J78" s="22"/>
      <c r="K78" s="2"/>
      <c r="L78" s="2">
        <f t="shared" si="0"/>
        <v>-15761.01</v>
      </c>
      <c r="M78" s="2"/>
      <c r="N78" s="22">
        <f t="shared" si="1"/>
        <v>0</v>
      </c>
      <c r="O78" s="11"/>
      <c r="P78" s="2">
        <f>-84084.01</f>
        <v>-84084.01</v>
      </c>
      <c r="Q78" s="2"/>
      <c r="R78" s="22"/>
      <c r="S78" s="2"/>
      <c r="T78" s="2"/>
      <c r="U78" s="2"/>
      <c r="V78" s="22"/>
      <c r="W78" s="2"/>
      <c r="X78" s="2">
        <f t="shared" si="2"/>
        <v>-84084.01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"4283", " - ", "SALES RETURN TAXABLE-COMPUTER")</f>
        <v xml:space="preserve">          4283 - SALES RETURN TAXABLE-COMPUTER</v>
      </c>
      <c r="C79" s="11"/>
      <c r="D79" s="2">
        <f>-678.96</f>
        <v>-678.96</v>
      </c>
      <c r="E79" s="2"/>
      <c r="F79" s="22"/>
      <c r="G79" s="2"/>
      <c r="H79" s="2"/>
      <c r="I79" s="2"/>
      <c r="J79" s="22"/>
      <c r="K79" s="2"/>
      <c r="L79" s="2">
        <f t="shared" si="0"/>
        <v>-678.96</v>
      </c>
      <c r="M79" s="2"/>
      <c r="N79" s="22">
        <f t="shared" si="1"/>
        <v>0</v>
      </c>
      <c r="O79" s="11"/>
      <c r="P79" s="2">
        <f>-3311.27</f>
        <v>-3311.27</v>
      </c>
      <c r="Q79" s="2"/>
      <c r="R79" s="22"/>
      <c r="S79" s="2"/>
      <c r="T79" s="2"/>
      <c r="U79" s="2"/>
      <c r="V79" s="22"/>
      <c r="W79" s="2"/>
      <c r="X79" s="2">
        <f t="shared" si="2"/>
        <v>-3311.27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"4285", " - ", "SALES RETURN TAXABLE-SOFTWARE")</f>
        <v xml:space="preserve">          4285 - SALES RETURN TAXABLE-SOFTWARE</v>
      </c>
      <c r="C80" s="11"/>
      <c r="D80" s="2">
        <f>-139</f>
        <v>-139</v>
      </c>
      <c r="E80" s="2"/>
      <c r="F80" s="22"/>
      <c r="G80" s="2"/>
      <c r="H80" s="2"/>
      <c r="I80" s="2"/>
      <c r="J80" s="22"/>
      <c r="K80" s="2"/>
      <c r="L80" s="2">
        <f t="shared" si="0"/>
        <v>-139</v>
      </c>
      <c r="M80" s="2"/>
      <c r="N80" s="22">
        <f t="shared" si="1"/>
        <v>0</v>
      </c>
      <c r="O80" s="11"/>
      <c r="P80" s="2">
        <f>-691.98</f>
        <v>-691.98</v>
      </c>
      <c r="Q80" s="2"/>
      <c r="R80" s="22"/>
      <c r="S80" s="2"/>
      <c r="T80" s="2"/>
      <c r="U80" s="2"/>
      <c r="V80" s="22"/>
      <c r="W80" s="2"/>
      <c r="X80" s="2">
        <f t="shared" si="2"/>
        <v>-691.98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"4286", " - ", "SALES RETURN TAXABLE-COMPUTER")</f>
        <v xml:space="preserve">          4286 - SALES RETURN TAXABLE-COMPUTER</v>
      </c>
      <c r="C81" s="11"/>
      <c r="D81" s="2">
        <f>-9.99</f>
        <v>-9.99</v>
      </c>
      <c r="E81" s="2"/>
      <c r="F81" s="22"/>
      <c r="G81" s="2"/>
      <c r="H81" s="2"/>
      <c r="I81" s="2"/>
      <c r="J81" s="22"/>
      <c r="K81" s="2"/>
      <c r="L81" s="2">
        <f t="shared" si="0"/>
        <v>-9.99</v>
      </c>
      <c r="M81" s="2"/>
      <c r="N81" s="22">
        <f t="shared" si="1"/>
        <v>0</v>
      </c>
      <c r="O81" s="11"/>
      <c r="P81" s="2">
        <f>-581.35</f>
        <v>-581.35</v>
      </c>
      <c r="Q81" s="2"/>
      <c r="R81" s="22"/>
      <c r="S81" s="2"/>
      <c r="T81" s="2"/>
      <c r="U81" s="2"/>
      <c r="V81" s="22"/>
      <c r="W81" s="2"/>
      <c r="X81" s="2">
        <f t="shared" si="2"/>
        <v>-581.35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"4301", " - ", "SALES RETURN NON TAXABLE-NEW T")</f>
        <v xml:space="preserve">          4301 - SALES RETURN NON TAXABLE-NEW T</v>
      </c>
      <c r="C82" s="11"/>
      <c r="D82" s="2">
        <f>0</f>
        <v>0</v>
      </c>
      <c r="E82" s="2"/>
      <c r="F82" s="22"/>
      <c r="G82" s="2"/>
      <c r="H82" s="2"/>
      <c r="I82" s="2"/>
      <c r="J82" s="22"/>
      <c r="K82" s="2"/>
      <c r="L82" s="2">
        <f t="shared" si="0"/>
        <v>0</v>
      </c>
      <c r="M82" s="2"/>
      <c r="N82" s="22">
        <f t="shared" si="1"/>
        <v>0</v>
      </c>
      <c r="O82" s="11"/>
      <c r="P82" s="2">
        <f>-2376.17</f>
        <v>-2376.17</v>
      </c>
      <c r="Q82" s="2"/>
      <c r="R82" s="22"/>
      <c r="S82" s="2"/>
      <c r="T82" s="2"/>
      <c r="U82" s="2"/>
      <c r="V82" s="22"/>
      <c r="W82" s="2"/>
      <c r="X82" s="2">
        <f t="shared" si="2"/>
        <v>-2376.17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"4302", " - ", "SALES RETURN NON TAXABLE-TEXT")</f>
        <v xml:space="preserve">          4302 - SALES RETURN NON TAXABLE-TEXT</v>
      </c>
      <c r="C83" s="11"/>
      <c r="D83" s="2">
        <f>-76.05</f>
        <v>-76.05</v>
      </c>
      <c r="E83" s="2"/>
      <c r="F83" s="22"/>
      <c r="G83" s="2"/>
      <c r="H83" s="2"/>
      <c r="I83" s="2"/>
      <c r="J83" s="22"/>
      <c r="K83" s="2"/>
      <c r="L83" s="2">
        <f t="shared" si="0"/>
        <v>-76.05</v>
      </c>
      <c r="M83" s="2"/>
      <c r="N83" s="22">
        <f t="shared" si="1"/>
        <v>0</v>
      </c>
      <c r="O83" s="11"/>
      <c r="P83" s="2">
        <f>-1392.85</f>
        <v>-1392.85</v>
      </c>
      <c r="Q83" s="2"/>
      <c r="R83" s="22"/>
      <c r="S83" s="2"/>
      <c r="T83" s="2"/>
      <c r="U83" s="2"/>
      <c r="V83" s="22"/>
      <c r="W83" s="2"/>
      <c r="X83" s="2">
        <f t="shared" si="2"/>
        <v>-1392.85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"4304", " - ", "SALES RETURN NON TAXABLE-DIGIT")</f>
        <v xml:space="preserve">          4304 - SALES RETURN NON TAXABLE-DIGIT</v>
      </c>
      <c r="C84" s="11"/>
      <c r="D84" s="2">
        <f>-176.43</f>
        <v>-176.43</v>
      </c>
      <c r="E84" s="2"/>
      <c r="F84" s="22"/>
      <c r="G84" s="2"/>
      <c r="H84" s="2"/>
      <c r="I84" s="2"/>
      <c r="J84" s="22"/>
      <c r="K84" s="2"/>
      <c r="L84" s="2">
        <f t="shared" si="0"/>
        <v>-176.43</v>
      </c>
      <c r="M84" s="2"/>
      <c r="N84" s="22">
        <f t="shared" si="1"/>
        <v>0</v>
      </c>
      <c r="O84" s="11"/>
      <c r="P84" s="2">
        <f>-14278.54</f>
        <v>-14278.54</v>
      </c>
      <c r="Q84" s="2"/>
      <c r="R84" s="22"/>
      <c r="S84" s="2"/>
      <c r="T84" s="2"/>
      <c r="U84" s="2"/>
      <c r="V84" s="22"/>
      <c r="W84" s="2"/>
      <c r="X84" s="2">
        <f t="shared" si="2"/>
        <v>-14278.54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"4340", " - ", "SALES RETURN NON TAXABLE-LOGO")</f>
        <v xml:space="preserve">          4340 - SALES RETURN NON TAXABLE-LOGO</v>
      </c>
      <c r="C85" s="11"/>
      <c r="D85" s="2">
        <f>-203.75</f>
        <v>-203.75</v>
      </c>
      <c r="E85" s="2"/>
      <c r="F85" s="22"/>
      <c r="G85" s="2"/>
      <c r="H85" s="2"/>
      <c r="I85" s="2"/>
      <c r="J85" s="22"/>
      <c r="K85" s="2"/>
      <c r="L85" s="2">
        <f t="shared" si="0"/>
        <v>-203.75</v>
      </c>
      <c r="M85" s="2"/>
      <c r="N85" s="22">
        <f t="shared" si="1"/>
        <v>0</v>
      </c>
      <c r="O85" s="11"/>
      <c r="P85" s="2">
        <f>-940.48</f>
        <v>-940.48</v>
      </c>
      <c r="Q85" s="2"/>
      <c r="R85" s="22"/>
      <c r="S85" s="2"/>
      <c r="T85" s="2"/>
      <c r="U85" s="2"/>
      <c r="V85" s="22"/>
      <c r="W85" s="2"/>
      <c r="X85" s="2">
        <f t="shared" si="2"/>
        <v>-940.48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"4341", " - ", "SALES RETURN NON TAXABLE-LOGO")</f>
        <v xml:space="preserve">          4341 - SALES RETURN NON TAXABLE-LOGO</v>
      </c>
      <c r="C86" s="11"/>
      <c r="D86" s="2">
        <f>-154.89</f>
        <v>-154.88999999999999</v>
      </c>
      <c r="E86" s="2"/>
      <c r="F86" s="22"/>
      <c r="G86" s="2"/>
      <c r="H86" s="2"/>
      <c r="I86" s="2"/>
      <c r="J86" s="22"/>
      <c r="K86" s="2"/>
      <c r="L86" s="2">
        <f t="shared" si="0"/>
        <v>-154.88999999999999</v>
      </c>
      <c r="M86" s="2"/>
      <c r="N86" s="22">
        <f t="shared" si="1"/>
        <v>0</v>
      </c>
      <c r="O86" s="11"/>
      <c r="P86" s="2">
        <f>-301.79</f>
        <v>-301.79000000000002</v>
      </c>
      <c r="Q86" s="2"/>
      <c r="R86" s="22"/>
      <c r="S86" s="2"/>
      <c r="T86" s="2"/>
      <c r="U86" s="2"/>
      <c r="V86" s="22"/>
      <c r="W86" s="2"/>
      <c r="X86" s="2">
        <f t="shared" si="2"/>
        <v>-301.79000000000002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"4342", " - ", "SALES RETURN NON TAXABLE-EVERY")</f>
        <v xml:space="preserve">          4342 - SALES RETURN NON TAXABLE-EVERY</v>
      </c>
      <c r="C87" s="11"/>
      <c r="D87" s="2">
        <f t="shared" ref="D87:D88" si="8">0</f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-118.7</f>
        <v>-118.7</v>
      </c>
      <c r="Q87" s="2"/>
      <c r="R87" s="22"/>
      <c r="S87" s="2"/>
      <c r="T87" s="2"/>
      <c r="U87" s="2"/>
      <c r="V87" s="22"/>
      <c r="W87" s="2"/>
      <c r="X87" s="2">
        <f t="shared" si="2"/>
        <v>-118.7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"4381", " - ", "SALES RETURN NON TAXABLE-ELECT")</f>
        <v xml:space="preserve">          4381 - SALES RETURN NON TAXABLE-ELECT</v>
      </c>
      <c r="C88" s="11"/>
      <c r="D88" s="2">
        <f t="shared" si="8"/>
        <v>0</v>
      </c>
      <c r="E88" s="2"/>
      <c r="F88" s="22"/>
      <c r="G88" s="2"/>
      <c r="H88" s="2"/>
      <c r="I88" s="2"/>
      <c r="J88" s="22"/>
      <c r="K88" s="2"/>
      <c r="L88" s="2">
        <f t="shared" si="0"/>
        <v>0</v>
      </c>
      <c r="M88" s="2"/>
      <c r="N88" s="22">
        <f t="shared" si="1"/>
        <v>0</v>
      </c>
      <c r="O88" s="11"/>
      <c r="P88" s="2">
        <f>-5624.15</f>
        <v>-5624.15</v>
      </c>
      <c r="Q88" s="2"/>
      <c r="R88" s="22"/>
      <c r="S88" s="2"/>
      <c r="T88" s="2"/>
      <c r="U88" s="2"/>
      <c r="V88" s="22"/>
      <c r="W88" s="2"/>
      <c r="X88" s="2">
        <f t="shared" si="2"/>
        <v>-5624.15</v>
      </c>
      <c r="Y88" s="2"/>
      <c r="Z88" s="22">
        <f t="shared" si="3"/>
        <v>0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collapsed="1" x14ac:dyDescent="0.25">
      <c r="A90" s="10"/>
      <c r="B90" s="26" t="s">
        <v>8</v>
      </c>
      <c r="C90" s="10"/>
      <c r="D90" s="4">
        <f>SUM(OSRRefD16x_0)</f>
        <v>121707.93999999999</v>
      </c>
      <c r="E90" s="4"/>
      <c r="F90" s="12">
        <f t="shared" ref="F90:F132" si="9">IF(D$12=0,0,D90/D$12)</f>
        <v>0.71276759910146781</v>
      </c>
      <c r="G90" s="4"/>
      <c r="H90" s="4">
        <f>SUM(OSRRefH16x_0)</f>
        <v>274322</v>
      </c>
      <c r="I90" s="4"/>
      <c r="J90" s="12">
        <f t="shared" ref="J90:J132" si="10">IF(H$12=0,0,H90/H$12)</f>
        <v>0.55013486548546553</v>
      </c>
      <c r="K90" s="4"/>
      <c r="L90" s="4">
        <f t="shared" ref="L90:L132" si="11">+D90-H90</f>
        <v>-152614.06</v>
      </c>
      <c r="M90" s="4"/>
      <c r="N90" s="12">
        <f t="shared" ref="N90:N132" si="12">IF(H90=0,0,L90/H90)</f>
        <v>-0.55633182901845279</v>
      </c>
      <c r="O90" s="10"/>
      <c r="P90" s="4">
        <f>SUM(OSRRefP16x_0)</f>
        <v>2743412.87</v>
      </c>
      <c r="Q90" s="4"/>
      <c r="R90" s="12">
        <f t="shared" ref="R90:R132" si="13">IF(P$12=0,0,P90/P$12)</f>
        <v>0.74938498628181727</v>
      </c>
      <c r="S90" s="4"/>
      <c r="T90" s="4">
        <f>SUM(OSRRefT16x_0)</f>
        <v>3687936</v>
      </c>
      <c r="U90" s="4"/>
      <c r="V90" s="12">
        <f t="shared" ref="V90:V132" si="14">IF(T$12=0,0,T90/T$12)</f>
        <v>0.6481890903032006</v>
      </c>
      <c r="W90" s="4"/>
      <c r="X90" s="4">
        <f t="shared" ref="X90:X132" si="15">+P90-T90</f>
        <v>-944523.12999999989</v>
      </c>
      <c r="Y90" s="4"/>
      <c r="Z90" s="12">
        <f t="shared" ref="Z90:Z132" si="16">IF(T90=0,0,X90/T90)</f>
        <v>-0.2561115838235804</v>
      </c>
    </row>
    <row r="91" spans="1:26" s="24" customFormat="1" hidden="1" outlineLevel="1" x14ac:dyDescent="0.25">
      <c r="A91" s="51"/>
      <c r="B91" s="11" t="str">
        <f>CONCATENATE("          ", "5000", " - ", "PURCHASES @ COST")</f>
        <v xml:space="preserve">          5000 - PURCHASES @ COST</v>
      </c>
      <c r="C91" s="11"/>
      <c r="D91" s="2"/>
      <c r="E91" s="2"/>
      <c r="F91" s="22">
        <f t="shared" si="9"/>
        <v>0</v>
      </c>
      <c r="G91" s="2"/>
      <c r="H91" s="2">
        <v>274322</v>
      </c>
      <c r="I91" s="2"/>
      <c r="J91" s="22">
        <f t="shared" si="10"/>
        <v>0.55013486548546553</v>
      </c>
      <c r="K91" s="2"/>
      <c r="L91" s="2">
        <f t="shared" si="11"/>
        <v>-274322</v>
      </c>
      <c r="M91" s="2"/>
      <c r="N91" s="22">
        <f t="shared" si="12"/>
        <v>-1</v>
      </c>
      <c r="O91" s="11"/>
      <c r="P91" s="2"/>
      <c r="Q91" s="2"/>
      <c r="R91" s="22">
        <f t="shared" si="13"/>
        <v>0</v>
      </c>
      <c r="S91" s="2"/>
      <c r="T91" s="2">
        <v>3687936</v>
      </c>
      <c r="U91" s="2"/>
      <c r="V91" s="22">
        <f t="shared" si="14"/>
        <v>0.6481890903032006</v>
      </c>
      <c r="W91" s="2"/>
      <c r="X91" s="2">
        <f t="shared" si="15"/>
        <v>-3687936</v>
      </c>
      <c r="Y91" s="2"/>
      <c r="Z91" s="22">
        <f t="shared" si="16"/>
        <v>-1</v>
      </c>
    </row>
    <row r="92" spans="1:26" s="24" customFormat="1" hidden="1" outlineLevel="1" x14ac:dyDescent="0.25">
      <c r="A92" s="51"/>
      <c r="B92" s="11" t="str">
        <f>CONCATENATE("          ", "5001", " - ", "PURCHASES @ COST-NEW TEXT")</f>
        <v xml:space="preserve">          5001 - PURCHASES @ COST-NEW TEXT</v>
      </c>
      <c r="C92" s="11"/>
      <c r="D92" s="2">
        <v>-108601.35</v>
      </c>
      <c r="E92" s="2"/>
      <c r="F92" s="22">
        <f t="shared" si="9"/>
        <v>-0.6360104648774616</v>
      </c>
      <c r="G92" s="2"/>
      <c r="H92" s="2"/>
      <c r="I92" s="2"/>
      <c r="J92" s="22">
        <f t="shared" si="10"/>
        <v>0</v>
      </c>
      <c r="K92" s="2"/>
      <c r="L92" s="2">
        <f t="shared" si="11"/>
        <v>-108601.35</v>
      </c>
      <c r="M92" s="2"/>
      <c r="N92" s="22">
        <f t="shared" si="12"/>
        <v>0</v>
      </c>
      <c r="O92" s="11"/>
      <c r="P92" s="2">
        <v>1240595.48</v>
      </c>
      <c r="Q92" s="2"/>
      <c r="R92" s="22">
        <f t="shared" si="13"/>
        <v>0.33887849580624169</v>
      </c>
      <c r="S92" s="2"/>
      <c r="T92" s="2"/>
      <c r="U92" s="2"/>
      <c r="V92" s="22">
        <f t="shared" si="14"/>
        <v>0</v>
      </c>
      <c r="W92" s="2"/>
      <c r="X92" s="2">
        <f t="shared" si="15"/>
        <v>1240595.48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"5002", " - ", "PURCHASES @ COST-USED TEXT")</f>
        <v xml:space="preserve">          5002 - PURCHASES @ COST-USED TEXT</v>
      </c>
      <c r="C93" s="11"/>
      <c r="D93" s="2">
        <v>-208829.28</v>
      </c>
      <c r="E93" s="2"/>
      <c r="F93" s="22">
        <f t="shared" si="9"/>
        <v>-1.2229830241781119</v>
      </c>
      <c r="G93" s="2"/>
      <c r="H93" s="2"/>
      <c r="I93" s="2"/>
      <c r="J93" s="22">
        <f t="shared" si="10"/>
        <v>0</v>
      </c>
      <c r="K93" s="2"/>
      <c r="L93" s="2">
        <f t="shared" si="11"/>
        <v>-208829.28</v>
      </c>
      <c r="M93" s="2"/>
      <c r="N93" s="22">
        <f t="shared" si="12"/>
        <v>0</v>
      </c>
      <c r="O93" s="11"/>
      <c r="P93" s="2">
        <v>94234.05</v>
      </c>
      <c r="Q93" s="2"/>
      <c r="R93" s="22">
        <f t="shared" si="13"/>
        <v>2.5740778225090882E-2</v>
      </c>
      <c r="S93" s="2"/>
      <c r="T93" s="2"/>
      <c r="U93" s="2"/>
      <c r="V93" s="22">
        <f t="shared" si="14"/>
        <v>0</v>
      </c>
      <c r="W93" s="2"/>
      <c r="X93" s="2">
        <f t="shared" si="15"/>
        <v>94234.05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"5003", " - ", "PURCHASES @ COST-RENTAL TEXT")</f>
        <v xml:space="preserve">          5003 - PURCHASES @ COST-RENTAL TEXT</v>
      </c>
      <c r="C94" s="11"/>
      <c r="D94" s="2">
        <v>517.92999999999995</v>
      </c>
      <c r="E94" s="2"/>
      <c r="F94" s="22">
        <f t="shared" si="9"/>
        <v>3.0331934186267817E-3</v>
      </c>
      <c r="G94" s="2"/>
      <c r="H94" s="2"/>
      <c r="I94" s="2"/>
      <c r="J94" s="22">
        <f t="shared" si="10"/>
        <v>0</v>
      </c>
      <c r="K94" s="2"/>
      <c r="L94" s="2">
        <f t="shared" si="11"/>
        <v>517.92999999999995</v>
      </c>
      <c r="M94" s="2"/>
      <c r="N94" s="22">
        <f t="shared" si="12"/>
        <v>0</v>
      </c>
      <c r="O94" s="11"/>
      <c r="P94" s="2">
        <v>32.520000000000003</v>
      </c>
      <c r="Q94" s="2"/>
      <c r="R94" s="22">
        <f t="shared" si="13"/>
        <v>8.8830959497119728E-6</v>
      </c>
      <c r="S94" s="2"/>
      <c r="T94" s="2"/>
      <c r="U94" s="2"/>
      <c r="V94" s="22">
        <f t="shared" si="14"/>
        <v>0</v>
      </c>
      <c r="W94" s="2"/>
      <c r="X94" s="2">
        <f t="shared" si="15"/>
        <v>32.520000000000003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"5004", " - ", "PURCHASES @ COST-DIGITAL TEXT")</f>
        <v xml:space="preserve">          5004 - PURCHASES @ COST-DIGITAL TEXT</v>
      </c>
      <c r="C95" s="11"/>
      <c r="D95" s="2">
        <v>1418.58</v>
      </c>
      <c r="E95" s="2"/>
      <c r="F95" s="22">
        <f t="shared" si="9"/>
        <v>8.3077395010823472E-3</v>
      </c>
      <c r="G95" s="2"/>
      <c r="H95" s="2"/>
      <c r="I95" s="2"/>
      <c r="J95" s="22">
        <f t="shared" si="10"/>
        <v>0</v>
      </c>
      <c r="K95" s="2"/>
      <c r="L95" s="2">
        <f t="shared" si="11"/>
        <v>1418.58</v>
      </c>
      <c r="M95" s="2"/>
      <c r="N95" s="22">
        <f t="shared" si="12"/>
        <v>0</v>
      </c>
      <c r="O95" s="11"/>
      <c r="P95" s="2">
        <v>196938.11000000002</v>
      </c>
      <c r="Q95" s="2"/>
      <c r="R95" s="22">
        <f t="shared" si="13"/>
        <v>5.3795206866080289E-2</v>
      </c>
      <c r="S95" s="2"/>
      <c r="T95" s="2"/>
      <c r="U95" s="2"/>
      <c r="V95" s="22">
        <f t="shared" si="14"/>
        <v>0</v>
      </c>
      <c r="W95" s="2"/>
      <c r="X95" s="2">
        <f t="shared" si="15"/>
        <v>196938.11000000002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"5011", " - ", "PURCHASES @ COST-NO VALUE TEXT")</f>
        <v xml:space="preserve">          5011 - PURCHASES @ COST-NO VALUE TEXT</v>
      </c>
      <c r="C96" s="11"/>
      <c r="D96" s="2"/>
      <c r="E96" s="2"/>
      <c r="F96" s="22">
        <f t="shared" si="9"/>
        <v>0</v>
      </c>
      <c r="G96" s="2"/>
      <c r="H96" s="2"/>
      <c r="I96" s="2"/>
      <c r="J96" s="22">
        <f t="shared" si="10"/>
        <v>0</v>
      </c>
      <c r="K96" s="2"/>
      <c r="L96" s="2">
        <f t="shared" si="11"/>
        <v>0</v>
      </c>
      <c r="M96" s="2"/>
      <c r="N96" s="22">
        <f t="shared" si="12"/>
        <v>0</v>
      </c>
      <c r="O96" s="11"/>
      <c r="P96" s="2">
        <v>67.17</v>
      </c>
      <c r="Q96" s="2"/>
      <c r="R96" s="22">
        <f t="shared" si="13"/>
        <v>1.8348018294654157E-5</v>
      </c>
      <c r="S96" s="2"/>
      <c r="T96" s="2"/>
      <c r="U96" s="2"/>
      <c r="V96" s="22">
        <f t="shared" si="14"/>
        <v>0</v>
      </c>
      <c r="W96" s="2"/>
      <c r="X96" s="2">
        <f t="shared" si="15"/>
        <v>67.17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"5013", " - ", "PURCHASES @ COST-TRADE BOOKS")</f>
        <v xml:space="preserve">          5013 - PURCHASES @ COST-TRADE BOOKS</v>
      </c>
      <c r="C97" s="11"/>
      <c r="D97" s="2">
        <v>611.1</v>
      </c>
      <c r="E97" s="2"/>
      <c r="F97" s="22">
        <f t="shared" si="9"/>
        <v>3.5788320779310458E-3</v>
      </c>
      <c r="G97" s="2"/>
      <c r="H97" s="2"/>
      <c r="I97" s="2"/>
      <c r="J97" s="22">
        <f t="shared" si="10"/>
        <v>0</v>
      </c>
      <c r="K97" s="2"/>
      <c r="L97" s="2">
        <f t="shared" si="11"/>
        <v>611.1</v>
      </c>
      <c r="M97" s="2"/>
      <c r="N97" s="22">
        <f t="shared" si="12"/>
        <v>0</v>
      </c>
      <c r="O97" s="11"/>
      <c r="P97" s="2">
        <v>2094.7399999999998</v>
      </c>
      <c r="Q97" s="2"/>
      <c r="R97" s="22">
        <f t="shared" si="13"/>
        <v>5.721948465467299E-4</v>
      </c>
      <c r="S97" s="2"/>
      <c r="T97" s="2"/>
      <c r="U97" s="2"/>
      <c r="V97" s="22">
        <f t="shared" si="14"/>
        <v>0</v>
      </c>
      <c r="W97" s="2"/>
      <c r="X97" s="2">
        <f t="shared" si="15"/>
        <v>2094.7399999999998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"5014", " - ", "PURCHASES @ COST-REMAINDERS")</f>
        <v xml:space="preserve">          5014 - PURCHASES @ COST-REMAINDERS</v>
      </c>
      <c r="C98" s="11"/>
      <c r="D98" s="2"/>
      <c r="E98" s="2"/>
      <c r="F98" s="22">
        <f t="shared" si="9"/>
        <v>0</v>
      </c>
      <c r="G98" s="2"/>
      <c r="H98" s="2"/>
      <c r="I98" s="2"/>
      <c r="J98" s="22">
        <f t="shared" si="10"/>
        <v>0</v>
      </c>
      <c r="K98" s="2"/>
      <c r="L98" s="2">
        <f t="shared" si="11"/>
        <v>0</v>
      </c>
      <c r="M98" s="2"/>
      <c r="N98" s="22">
        <f t="shared" si="12"/>
        <v>0</v>
      </c>
      <c r="O98" s="11"/>
      <c r="P98" s="2">
        <v>90.41</v>
      </c>
      <c r="Q98" s="2"/>
      <c r="R98" s="22">
        <f t="shared" si="13"/>
        <v>2.4696208635100226E-5</v>
      </c>
      <c r="S98" s="2"/>
      <c r="T98" s="2"/>
      <c r="U98" s="2"/>
      <c r="V98" s="22">
        <f t="shared" si="14"/>
        <v>0</v>
      </c>
      <c r="W98" s="2"/>
      <c r="X98" s="2">
        <f t="shared" si="15"/>
        <v>90.41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"5018", " - ", "PURCHASES @ COST-STUDY GUIDES")</f>
        <v xml:space="preserve">          5018 - PURCHASES @ COST-STUDY GUIDES</v>
      </c>
      <c r="C99" s="11"/>
      <c r="D99" s="2">
        <v>106.34</v>
      </c>
      <c r="E99" s="2"/>
      <c r="F99" s="22">
        <f t="shared" si="9"/>
        <v>6.2276714640351397E-4</v>
      </c>
      <c r="G99" s="2"/>
      <c r="H99" s="2"/>
      <c r="I99" s="2"/>
      <c r="J99" s="22">
        <f t="shared" si="10"/>
        <v>0</v>
      </c>
      <c r="K99" s="2"/>
      <c r="L99" s="2">
        <f t="shared" si="11"/>
        <v>106.34</v>
      </c>
      <c r="M99" s="2"/>
      <c r="N99" s="22">
        <f t="shared" si="12"/>
        <v>0</v>
      </c>
      <c r="O99" s="11"/>
      <c r="P99" s="2">
        <v>106.34</v>
      </c>
      <c r="Q99" s="2"/>
      <c r="R99" s="22">
        <f t="shared" si="13"/>
        <v>2.9047614492385339E-5</v>
      </c>
      <c r="S99" s="2"/>
      <c r="T99" s="2"/>
      <c r="U99" s="2"/>
      <c r="V99" s="22">
        <f t="shared" si="14"/>
        <v>0</v>
      </c>
      <c r="W99" s="2"/>
      <c r="X99" s="2">
        <f t="shared" si="15"/>
        <v>106.34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"5025", " - ", "PURCHASES @ COST-TEST FORMS")</f>
        <v xml:space="preserve">          5025 - PURCHASES @ COST-TEST FORMS</v>
      </c>
      <c r="C100" s="11"/>
      <c r="D100" s="2"/>
      <c r="E100" s="2"/>
      <c r="F100" s="22">
        <f t="shared" si="9"/>
        <v>0</v>
      </c>
      <c r="G100" s="2"/>
      <c r="H100" s="2"/>
      <c r="I100" s="2"/>
      <c r="J100" s="22">
        <f t="shared" si="10"/>
        <v>0</v>
      </c>
      <c r="K100" s="2"/>
      <c r="L100" s="2">
        <f t="shared" si="11"/>
        <v>0</v>
      </c>
      <c r="M100" s="2"/>
      <c r="N100" s="22">
        <f t="shared" si="12"/>
        <v>0</v>
      </c>
      <c r="O100" s="11"/>
      <c r="P100" s="2">
        <v>599.29</v>
      </c>
      <c r="Q100" s="2"/>
      <c r="R100" s="22">
        <f t="shared" si="13"/>
        <v>1.6370081708803468E-4</v>
      </c>
      <c r="S100" s="2"/>
      <c r="T100" s="2"/>
      <c r="U100" s="2"/>
      <c r="V100" s="22">
        <f t="shared" si="14"/>
        <v>0</v>
      </c>
      <c r="W100" s="2"/>
      <c r="X100" s="2">
        <f t="shared" si="15"/>
        <v>599.29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"5026", " - ", "PURCHASES @ COST-WRITING INSTR")</f>
        <v xml:space="preserve">          5026 - PURCHASES @ COST-WRITING INSTR</v>
      </c>
      <c r="C101" s="11"/>
      <c r="D101" s="2"/>
      <c r="E101" s="2"/>
      <c r="F101" s="22">
        <f t="shared" si="9"/>
        <v>0</v>
      </c>
      <c r="G101" s="2"/>
      <c r="H101" s="2"/>
      <c r="I101" s="2"/>
      <c r="J101" s="22">
        <f t="shared" si="10"/>
        <v>0</v>
      </c>
      <c r="K101" s="2"/>
      <c r="L101" s="2">
        <f t="shared" si="11"/>
        <v>0</v>
      </c>
      <c r="M101" s="2"/>
      <c r="N101" s="22">
        <f t="shared" si="12"/>
        <v>0</v>
      </c>
      <c r="O101" s="11"/>
      <c r="P101" s="2">
        <v>380.02</v>
      </c>
      <c r="Q101" s="2"/>
      <c r="R101" s="22">
        <f t="shared" si="13"/>
        <v>1.0380547733116678E-4</v>
      </c>
      <c r="S101" s="2"/>
      <c r="T101" s="2"/>
      <c r="U101" s="2"/>
      <c r="V101" s="22">
        <f t="shared" si="14"/>
        <v>0</v>
      </c>
      <c r="W101" s="2"/>
      <c r="X101" s="2">
        <f t="shared" si="15"/>
        <v>380.02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"5027", " - ", "PURCHASES @ COST-SCHOOL SUPPLI")</f>
        <v xml:space="preserve">          5027 - PURCHASES @ COST-SCHOOL SUPPLI</v>
      </c>
      <c r="C102" s="11"/>
      <c r="D102" s="2"/>
      <c r="E102" s="2"/>
      <c r="F102" s="22">
        <f t="shared" si="9"/>
        <v>0</v>
      </c>
      <c r="G102" s="2"/>
      <c r="H102" s="2"/>
      <c r="I102" s="2"/>
      <c r="J102" s="22">
        <f t="shared" si="10"/>
        <v>0</v>
      </c>
      <c r="K102" s="2"/>
      <c r="L102" s="2">
        <f t="shared" si="11"/>
        <v>0</v>
      </c>
      <c r="M102" s="2"/>
      <c r="N102" s="22">
        <f t="shared" si="12"/>
        <v>0</v>
      </c>
      <c r="O102" s="11"/>
      <c r="P102" s="2">
        <v>19071.350000000002</v>
      </c>
      <c r="Q102" s="2"/>
      <c r="R102" s="22">
        <f t="shared" si="13"/>
        <v>5.2094905270768585E-3</v>
      </c>
      <c r="S102" s="2"/>
      <c r="T102" s="2"/>
      <c r="U102" s="2"/>
      <c r="V102" s="22">
        <f t="shared" si="14"/>
        <v>0</v>
      </c>
      <c r="W102" s="2"/>
      <c r="X102" s="2">
        <f t="shared" si="15"/>
        <v>19071.350000000002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"5028", " - ", "PURCHASES @ COST-ART/TECH")</f>
        <v xml:space="preserve">          5028 - PURCHASES @ COST-ART/TECH</v>
      </c>
      <c r="C103" s="11"/>
      <c r="D103" s="2">
        <v>15.89</v>
      </c>
      <c r="E103" s="2"/>
      <c r="F103" s="22">
        <f t="shared" si="9"/>
        <v>9.3057832954220775E-5</v>
      </c>
      <c r="G103" s="2"/>
      <c r="H103" s="2"/>
      <c r="I103" s="2"/>
      <c r="J103" s="22">
        <f t="shared" si="10"/>
        <v>0</v>
      </c>
      <c r="K103" s="2"/>
      <c r="L103" s="2">
        <f t="shared" si="11"/>
        <v>15.89</v>
      </c>
      <c r="M103" s="2"/>
      <c r="N103" s="22">
        <f t="shared" si="12"/>
        <v>0</v>
      </c>
      <c r="O103" s="11"/>
      <c r="P103" s="2">
        <v>41358.449999999997</v>
      </c>
      <c r="Q103" s="2"/>
      <c r="R103" s="22">
        <f t="shared" si="13"/>
        <v>1.1297388674088717E-2</v>
      </c>
      <c r="S103" s="2"/>
      <c r="T103" s="2"/>
      <c r="U103" s="2"/>
      <c r="V103" s="22">
        <f t="shared" si="14"/>
        <v>0</v>
      </c>
      <c r="W103" s="2"/>
      <c r="X103" s="2">
        <f t="shared" si="15"/>
        <v>41358.449999999997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"5031", " - ", "PURCHASES @ COST-FOOD")</f>
        <v xml:space="preserve">          5031 - PURCHASES @ COST-FOOD</v>
      </c>
      <c r="C104" s="11"/>
      <c r="D104" s="2"/>
      <c r="E104" s="2"/>
      <c r="F104" s="22">
        <f t="shared" si="9"/>
        <v>0</v>
      </c>
      <c r="G104" s="2"/>
      <c r="H104" s="2"/>
      <c r="I104" s="2"/>
      <c r="J104" s="22">
        <f t="shared" si="10"/>
        <v>0</v>
      </c>
      <c r="K104" s="2"/>
      <c r="L104" s="2">
        <f t="shared" si="11"/>
        <v>0</v>
      </c>
      <c r="M104" s="2"/>
      <c r="N104" s="22">
        <f t="shared" si="12"/>
        <v>0</v>
      </c>
      <c r="O104" s="11"/>
      <c r="P104" s="2">
        <v>8535.1</v>
      </c>
      <c r="Q104" s="2"/>
      <c r="R104" s="22">
        <f t="shared" si="13"/>
        <v>2.3314302656945469E-3</v>
      </c>
      <c r="S104" s="2"/>
      <c r="T104" s="2"/>
      <c r="U104" s="2"/>
      <c r="V104" s="22">
        <f t="shared" si="14"/>
        <v>0</v>
      </c>
      <c r="W104" s="2"/>
      <c r="X104" s="2">
        <f t="shared" si="15"/>
        <v>8535.1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"5040", " - ", "PURCHASES @ COST-LOGO CLOTHING")</f>
        <v xml:space="preserve">          5040 - PURCHASES @ COST-LOGO CLOTHING</v>
      </c>
      <c r="C105" s="11"/>
      <c r="D105" s="2">
        <v>55124.33</v>
      </c>
      <c r="E105" s="2"/>
      <c r="F105" s="22">
        <f t="shared" si="9"/>
        <v>0.32282886676232481</v>
      </c>
      <c r="G105" s="2"/>
      <c r="H105" s="2"/>
      <c r="I105" s="2"/>
      <c r="J105" s="22">
        <f t="shared" si="10"/>
        <v>0</v>
      </c>
      <c r="K105" s="2"/>
      <c r="L105" s="2">
        <f t="shared" si="11"/>
        <v>55124.33</v>
      </c>
      <c r="M105" s="2"/>
      <c r="N105" s="22">
        <f t="shared" si="12"/>
        <v>0</v>
      </c>
      <c r="O105" s="11"/>
      <c r="P105" s="2">
        <v>94295.28</v>
      </c>
      <c r="Q105" s="2"/>
      <c r="R105" s="22">
        <f t="shared" si="13"/>
        <v>2.5757503685269259E-2</v>
      </c>
      <c r="S105" s="2"/>
      <c r="T105" s="2"/>
      <c r="U105" s="2"/>
      <c r="V105" s="22">
        <f t="shared" si="14"/>
        <v>0</v>
      </c>
      <c r="W105" s="2"/>
      <c r="X105" s="2">
        <f t="shared" si="15"/>
        <v>94295.28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"5041", " - ", "PURCHASES @ COST-LOGO GIFTS")</f>
        <v xml:space="preserve">          5041 - PURCHASES @ COST-LOGO GIFTS</v>
      </c>
      <c r="C106" s="11"/>
      <c r="D106" s="2">
        <v>9354.43</v>
      </c>
      <c r="E106" s="2"/>
      <c r="F106" s="22">
        <f t="shared" si="9"/>
        <v>5.4783070127246786E-2</v>
      </c>
      <c r="G106" s="2"/>
      <c r="H106" s="2"/>
      <c r="I106" s="2"/>
      <c r="J106" s="22">
        <f t="shared" si="10"/>
        <v>0</v>
      </c>
      <c r="K106" s="2"/>
      <c r="L106" s="2">
        <f t="shared" si="11"/>
        <v>9354.43</v>
      </c>
      <c r="M106" s="2"/>
      <c r="N106" s="22">
        <f t="shared" si="12"/>
        <v>0</v>
      </c>
      <c r="O106" s="11"/>
      <c r="P106" s="2">
        <v>26641.769999999997</v>
      </c>
      <c r="Q106" s="2"/>
      <c r="R106" s="22">
        <f t="shared" si="13"/>
        <v>7.2774107988978444E-3</v>
      </c>
      <c r="S106" s="2"/>
      <c r="T106" s="2"/>
      <c r="U106" s="2"/>
      <c r="V106" s="22">
        <f t="shared" si="14"/>
        <v>0</v>
      </c>
      <c r="W106" s="2"/>
      <c r="X106" s="2">
        <f t="shared" si="15"/>
        <v>26641.769999999997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"5042", " - ", "PURCHASES @ COST-EVERYDAY GIFT")</f>
        <v xml:space="preserve">          5042 - PURCHASES @ COST-EVERYDAY GIFT</v>
      </c>
      <c r="C107" s="11"/>
      <c r="D107" s="2"/>
      <c r="E107" s="2"/>
      <c r="F107" s="22">
        <f t="shared" si="9"/>
        <v>0</v>
      </c>
      <c r="G107" s="2"/>
      <c r="H107" s="2"/>
      <c r="I107" s="2"/>
      <c r="J107" s="22">
        <f t="shared" si="10"/>
        <v>0</v>
      </c>
      <c r="K107" s="2"/>
      <c r="L107" s="2">
        <f t="shared" si="11"/>
        <v>0</v>
      </c>
      <c r="M107" s="2"/>
      <c r="N107" s="22">
        <f t="shared" si="12"/>
        <v>0</v>
      </c>
      <c r="O107" s="11"/>
      <c r="P107" s="2">
        <v>10912.68</v>
      </c>
      <c r="Q107" s="2"/>
      <c r="R107" s="22">
        <f t="shared" si="13"/>
        <v>2.9808851017374799E-3</v>
      </c>
      <c r="S107" s="2"/>
      <c r="T107" s="2"/>
      <c r="U107" s="2"/>
      <c r="V107" s="22">
        <f t="shared" si="14"/>
        <v>0</v>
      </c>
      <c r="W107" s="2"/>
      <c r="X107" s="2">
        <f t="shared" si="15"/>
        <v>10912.68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"5043", " - ", "PURCHASES @ COST-CARDS")</f>
        <v xml:space="preserve">          5043 - PURCHASES @ COST-CARDS</v>
      </c>
      <c r="C108" s="11"/>
      <c r="D108" s="2">
        <v>38530.230000000003</v>
      </c>
      <c r="E108" s="2"/>
      <c r="F108" s="22">
        <f t="shared" si="9"/>
        <v>0.22564755865498465</v>
      </c>
      <c r="G108" s="2"/>
      <c r="H108" s="2"/>
      <c r="I108" s="2"/>
      <c r="J108" s="22">
        <f t="shared" si="10"/>
        <v>0</v>
      </c>
      <c r="K108" s="2"/>
      <c r="L108" s="2">
        <f t="shared" si="11"/>
        <v>38530.230000000003</v>
      </c>
      <c r="M108" s="2"/>
      <c r="N108" s="22">
        <f t="shared" si="12"/>
        <v>0</v>
      </c>
      <c r="O108" s="11"/>
      <c r="P108" s="2">
        <v>44173.23</v>
      </c>
      <c r="Q108" s="2"/>
      <c r="R108" s="22">
        <f t="shared" si="13"/>
        <v>1.2066268158016464E-2</v>
      </c>
      <c r="S108" s="2"/>
      <c r="T108" s="2"/>
      <c r="U108" s="2"/>
      <c r="V108" s="22">
        <f t="shared" si="14"/>
        <v>0</v>
      </c>
      <c r="W108" s="2"/>
      <c r="X108" s="2">
        <f t="shared" si="15"/>
        <v>44173.23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"5044", " - ", "PURCHASES @ COST-ACCESSORIES")</f>
        <v xml:space="preserve">          5044 - PURCHASES @ COST-ACCESSORIES</v>
      </c>
      <c r="C109" s="11"/>
      <c r="D109" s="2">
        <v>282.33</v>
      </c>
      <c r="E109" s="2"/>
      <c r="F109" s="22">
        <f t="shared" si="9"/>
        <v>1.6534309614830176E-3</v>
      </c>
      <c r="G109" s="2"/>
      <c r="H109" s="2"/>
      <c r="I109" s="2"/>
      <c r="J109" s="22">
        <f t="shared" si="10"/>
        <v>0</v>
      </c>
      <c r="K109" s="2"/>
      <c r="L109" s="2">
        <f t="shared" si="11"/>
        <v>282.33</v>
      </c>
      <c r="M109" s="2"/>
      <c r="N109" s="22">
        <f t="shared" si="12"/>
        <v>0</v>
      </c>
      <c r="O109" s="11"/>
      <c r="P109" s="2">
        <v>282.33</v>
      </c>
      <c r="Q109" s="2"/>
      <c r="R109" s="22">
        <f t="shared" si="13"/>
        <v>7.7120678950866578E-5</v>
      </c>
      <c r="S109" s="2"/>
      <c r="T109" s="2"/>
      <c r="U109" s="2"/>
      <c r="V109" s="22">
        <f t="shared" si="14"/>
        <v>0</v>
      </c>
      <c r="W109" s="2"/>
      <c r="X109" s="2">
        <f t="shared" si="15"/>
        <v>282.33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"5045", " - ", "PURCHASES @ COST-SPECIAL ORDER")</f>
        <v xml:space="preserve">          5045 - PURCHASES @ COST-SPECIAL ORDER</v>
      </c>
      <c r="C110" s="11"/>
      <c r="D110" s="2">
        <v>5678</v>
      </c>
      <c r="E110" s="2"/>
      <c r="F110" s="22">
        <f t="shared" si="9"/>
        <v>3.3252509472250821E-2</v>
      </c>
      <c r="G110" s="2"/>
      <c r="H110" s="2"/>
      <c r="I110" s="2"/>
      <c r="J110" s="22">
        <f t="shared" si="10"/>
        <v>0</v>
      </c>
      <c r="K110" s="2"/>
      <c r="L110" s="2">
        <f t="shared" si="11"/>
        <v>5678</v>
      </c>
      <c r="M110" s="2"/>
      <c r="N110" s="22">
        <f t="shared" si="12"/>
        <v>0</v>
      </c>
      <c r="O110" s="11"/>
      <c r="P110" s="2">
        <v>76932.51999999999</v>
      </c>
      <c r="Q110" s="2"/>
      <c r="R110" s="22">
        <f t="shared" si="13"/>
        <v>2.1014728069284602E-2</v>
      </c>
      <c r="S110" s="2"/>
      <c r="T110" s="2"/>
      <c r="U110" s="2"/>
      <c r="V110" s="22">
        <f t="shared" si="14"/>
        <v>0</v>
      </c>
      <c r="W110" s="2"/>
      <c r="X110" s="2">
        <f t="shared" si="15"/>
        <v>76932.51999999999</v>
      </c>
      <c r="Y110" s="2"/>
      <c r="Z110" s="22">
        <f t="shared" si="16"/>
        <v>0</v>
      </c>
    </row>
    <row r="111" spans="1:26" s="24" customFormat="1" hidden="1" outlineLevel="1" x14ac:dyDescent="0.25">
      <c r="A111" s="51"/>
      <c r="B111" s="11" t="str">
        <f>CONCATENATE("          ", "5081", " - ", "PURCHASES @ COST-ELECTRONICS")</f>
        <v xml:space="preserve">          5081 - PURCHASES @ COST-ELECTRONICS</v>
      </c>
      <c r="C111" s="11"/>
      <c r="D111" s="2">
        <v>2367.86</v>
      </c>
      <c r="E111" s="2"/>
      <c r="F111" s="22">
        <f t="shared" si="9"/>
        <v>1.3867081204467037E-2</v>
      </c>
      <c r="G111" s="2"/>
      <c r="H111" s="2"/>
      <c r="I111" s="2"/>
      <c r="J111" s="22">
        <f t="shared" si="10"/>
        <v>0</v>
      </c>
      <c r="K111" s="2"/>
      <c r="L111" s="2">
        <f t="shared" si="11"/>
        <v>2367.86</v>
      </c>
      <c r="M111" s="2"/>
      <c r="N111" s="22">
        <f t="shared" si="12"/>
        <v>0</v>
      </c>
      <c r="O111" s="11"/>
      <c r="P111" s="2">
        <v>24315.070000000003</v>
      </c>
      <c r="Q111" s="2"/>
      <c r="R111" s="22">
        <f t="shared" si="13"/>
        <v>6.6418542384367504E-3</v>
      </c>
      <c r="S111" s="2"/>
      <c r="T111" s="2"/>
      <c r="U111" s="2"/>
      <c r="V111" s="22">
        <f t="shared" si="14"/>
        <v>0</v>
      </c>
      <c r="W111" s="2"/>
      <c r="X111" s="2">
        <f t="shared" si="15"/>
        <v>24315.070000000003</v>
      </c>
      <c r="Y111" s="2"/>
      <c r="Z111" s="22">
        <f t="shared" si="16"/>
        <v>0</v>
      </c>
    </row>
    <row r="112" spans="1:26" s="24" customFormat="1" hidden="1" outlineLevel="1" x14ac:dyDescent="0.25">
      <c r="A112" s="51"/>
      <c r="B112" s="11" t="str">
        <f>CONCATENATE("          ", "5082", " - ", "PURCHASES @ COST-COMPUTER HARD")</f>
        <v xml:space="preserve">          5082 - PURCHASES @ COST-COMPUTER HARD</v>
      </c>
      <c r="C112" s="11"/>
      <c r="D112" s="2">
        <v>71242.03</v>
      </c>
      <c r="E112" s="2"/>
      <c r="F112" s="22">
        <f t="shared" si="9"/>
        <v>0.41722019679418409</v>
      </c>
      <c r="G112" s="2"/>
      <c r="H112" s="2"/>
      <c r="I112" s="2"/>
      <c r="J112" s="22">
        <f t="shared" si="10"/>
        <v>0</v>
      </c>
      <c r="K112" s="2"/>
      <c r="L112" s="2">
        <f t="shared" si="11"/>
        <v>71242.03</v>
      </c>
      <c r="M112" s="2"/>
      <c r="N112" s="22">
        <f t="shared" si="12"/>
        <v>0</v>
      </c>
      <c r="O112" s="11"/>
      <c r="P112" s="2">
        <v>960020.1100000001</v>
      </c>
      <c r="Q112" s="2"/>
      <c r="R112" s="22">
        <f t="shared" si="13"/>
        <v>0.26223710795765814</v>
      </c>
      <c r="S112" s="2"/>
      <c r="T112" s="2"/>
      <c r="U112" s="2"/>
      <c r="V112" s="22">
        <f t="shared" si="14"/>
        <v>0</v>
      </c>
      <c r="W112" s="2"/>
      <c r="X112" s="2">
        <f t="shared" si="15"/>
        <v>960020.1100000001</v>
      </c>
      <c r="Y112" s="2"/>
      <c r="Z112" s="22">
        <f t="shared" si="16"/>
        <v>0</v>
      </c>
    </row>
    <row r="113" spans="1:26" s="24" customFormat="1" hidden="1" outlineLevel="1" x14ac:dyDescent="0.25">
      <c r="A113" s="51"/>
      <c r="B113" s="11" t="str">
        <f>CONCATENATE("          ", "5083", " - ", "PURCHASES @ COST-COMPUTER EQUI")</f>
        <v xml:space="preserve">          5083 - PURCHASES @ COST-COMPUTER EQUI</v>
      </c>
      <c r="C113" s="11"/>
      <c r="D113" s="2">
        <v>2620.17</v>
      </c>
      <c r="E113" s="2"/>
      <c r="F113" s="22">
        <f t="shared" si="9"/>
        <v>1.5344703723830124E-2</v>
      </c>
      <c r="G113" s="2"/>
      <c r="H113" s="2"/>
      <c r="I113" s="2"/>
      <c r="J113" s="22">
        <f t="shared" si="10"/>
        <v>0</v>
      </c>
      <c r="K113" s="2"/>
      <c r="L113" s="2">
        <f t="shared" si="11"/>
        <v>2620.17</v>
      </c>
      <c r="M113" s="2"/>
      <c r="N113" s="22">
        <f t="shared" si="12"/>
        <v>0</v>
      </c>
      <c r="O113" s="11"/>
      <c r="P113" s="2">
        <v>75893.119999999995</v>
      </c>
      <c r="Q113" s="2"/>
      <c r="R113" s="22">
        <f t="shared" si="13"/>
        <v>2.073080771472954E-2</v>
      </c>
      <c r="S113" s="2"/>
      <c r="T113" s="2"/>
      <c r="U113" s="2"/>
      <c r="V113" s="22">
        <f t="shared" si="14"/>
        <v>0</v>
      </c>
      <c r="W113" s="2"/>
      <c r="X113" s="2">
        <f t="shared" si="15"/>
        <v>75893.119999999995</v>
      </c>
      <c r="Y113" s="2"/>
      <c r="Z113" s="22">
        <f t="shared" si="16"/>
        <v>0</v>
      </c>
    </row>
    <row r="114" spans="1:26" s="24" customFormat="1" hidden="1" outlineLevel="1" x14ac:dyDescent="0.25">
      <c r="A114" s="51"/>
      <c r="B114" s="11" t="str">
        <f>CONCATENATE("          ", "5085", " - ", "PURCHASES @ COST-SOFTWARE")</f>
        <v xml:space="preserve">          5085 - PURCHASES @ COST-SOFTWARE</v>
      </c>
      <c r="C114" s="11"/>
      <c r="D114" s="2">
        <v>3394.72</v>
      </c>
      <c r="E114" s="2"/>
      <c r="F114" s="22">
        <f t="shared" si="9"/>
        <v>1.9880760647347534E-2</v>
      </c>
      <c r="G114" s="2"/>
      <c r="H114" s="2"/>
      <c r="I114" s="2"/>
      <c r="J114" s="22">
        <f t="shared" si="10"/>
        <v>0</v>
      </c>
      <c r="K114" s="2"/>
      <c r="L114" s="2">
        <f t="shared" si="11"/>
        <v>3394.72</v>
      </c>
      <c r="M114" s="2"/>
      <c r="N114" s="22">
        <f t="shared" si="12"/>
        <v>0</v>
      </c>
      <c r="O114" s="11"/>
      <c r="P114" s="2">
        <v>24075.919999999998</v>
      </c>
      <c r="Q114" s="2"/>
      <c r="R114" s="22">
        <f t="shared" si="13"/>
        <v>6.5765285189910662E-3</v>
      </c>
      <c r="S114" s="2"/>
      <c r="T114" s="2"/>
      <c r="U114" s="2"/>
      <c r="V114" s="22">
        <f t="shared" si="14"/>
        <v>0</v>
      </c>
      <c r="W114" s="2"/>
      <c r="X114" s="2">
        <f t="shared" si="15"/>
        <v>24075.919999999998</v>
      </c>
      <c r="Y114" s="2"/>
      <c r="Z114" s="22">
        <f t="shared" si="16"/>
        <v>0</v>
      </c>
    </row>
    <row r="115" spans="1:26" s="24" customFormat="1" hidden="1" outlineLevel="1" x14ac:dyDescent="0.25">
      <c r="A115" s="51"/>
      <c r="B115" s="11" t="str">
        <f>CONCATENATE("          ", "5086", " - ", "PURCHASES @ COST-COMPUTER SUPP")</f>
        <v xml:space="preserve">          5086 - PURCHASES @ COST-COMPUTER SUPP</v>
      </c>
      <c r="C115" s="11"/>
      <c r="D115" s="2">
        <v>189.17</v>
      </c>
      <c r="E115" s="2"/>
      <c r="F115" s="22">
        <f t="shared" si="9"/>
        <v>1.1078508659502796E-3</v>
      </c>
      <c r="G115" s="2"/>
      <c r="H115" s="2"/>
      <c r="I115" s="2"/>
      <c r="J115" s="22">
        <f t="shared" si="10"/>
        <v>0</v>
      </c>
      <c r="K115" s="2"/>
      <c r="L115" s="2">
        <f t="shared" si="11"/>
        <v>189.17</v>
      </c>
      <c r="M115" s="2"/>
      <c r="N115" s="22">
        <f t="shared" si="12"/>
        <v>0</v>
      </c>
      <c r="O115" s="11"/>
      <c r="P115" s="2">
        <v>22718.609999999997</v>
      </c>
      <c r="Q115" s="2"/>
      <c r="R115" s="22">
        <f t="shared" si="13"/>
        <v>6.2057685262634039E-3</v>
      </c>
      <c r="S115" s="2"/>
      <c r="T115" s="2"/>
      <c r="U115" s="2"/>
      <c r="V115" s="22">
        <f t="shared" si="14"/>
        <v>0</v>
      </c>
      <c r="W115" s="2"/>
      <c r="X115" s="2">
        <f t="shared" si="15"/>
        <v>22718.609999999997</v>
      </c>
      <c r="Y115" s="2"/>
      <c r="Z115" s="22">
        <f t="shared" si="16"/>
        <v>0</v>
      </c>
    </row>
    <row r="116" spans="1:26" s="24" customFormat="1" hidden="1" outlineLevel="1" x14ac:dyDescent="0.25">
      <c r="A116" s="51"/>
      <c r="B116" s="11" t="str">
        <f>CONCATENATE("          ", "5200", " - ", "PURCHASES OFFSET")</f>
        <v xml:space="preserve">          5200 - PURCHASES OFFSET</v>
      </c>
      <c r="C116" s="11"/>
      <c r="D116" s="2">
        <v>120893.79999999999</v>
      </c>
      <c r="E116" s="2"/>
      <c r="F116" s="22">
        <f t="shared" si="9"/>
        <v>0.7079996882064804</v>
      </c>
      <c r="G116" s="2"/>
      <c r="H116" s="2"/>
      <c r="I116" s="2"/>
      <c r="J116" s="22">
        <f t="shared" si="10"/>
        <v>0</v>
      </c>
      <c r="K116" s="2"/>
      <c r="L116" s="2">
        <f t="shared" si="11"/>
        <v>120893.79999999999</v>
      </c>
      <c r="M116" s="2"/>
      <c r="N116" s="22">
        <f t="shared" si="12"/>
        <v>0</v>
      </c>
      <c r="O116" s="11"/>
      <c r="P116" s="2">
        <v>-2675815.56</v>
      </c>
      <c r="Q116" s="2"/>
      <c r="R116" s="22">
        <f t="shared" si="13"/>
        <v>-0.73092024487122609</v>
      </c>
      <c r="S116" s="2"/>
      <c r="T116" s="2"/>
      <c r="U116" s="2"/>
      <c r="V116" s="22">
        <f t="shared" si="14"/>
        <v>0</v>
      </c>
      <c r="W116" s="2"/>
      <c r="X116" s="2">
        <f t="shared" si="15"/>
        <v>-2675815.56</v>
      </c>
      <c r="Y116" s="2"/>
      <c r="Z116" s="22">
        <f t="shared" si="16"/>
        <v>0</v>
      </c>
    </row>
    <row r="117" spans="1:26" s="24" customFormat="1" hidden="1" outlineLevel="1" x14ac:dyDescent="0.25">
      <c r="A117" s="51"/>
      <c r="B117" s="11" t="str">
        <f>CONCATENATE("          ", "5300", " - ", "COG$ OFFSET")</f>
        <v xml:space="preserve">          5300 - COG$ OFFSET</v>
      </c>
      <c r="C117" s="11"/>
      <c r="D117" s="2">
        <v>117369</v>
      </c>
      <c r="E117" s="2"/>
      <c r="F117" s="22">
        <f t="shared" si="9"/>
        <v>0.68735713001912768</v>
      </c>
      <c r="G117" s="2"/>
      <c r="H117" s="2"/>
      <c r="I117" s="2"/>
      <c r="J117" s="22">
        <f t="shared" si="10"/>
        <v>0</v>
      </c>
      <c r="K117" s="2"/>
      <c r="L117" s="2">
        <f t="shared" si="11"/>
        <v>117369</v>
      </c>
      <c r="M117" s="2"/>
      <c r="N117" s="22">
        <f t="shared" si="12"/>
        <v>0</v>
      </c>
      <c r="O117" s="11"/>
      <c r="P117" s="2">
        <v>2394333</v>
      </c>
      <c r="Q117" s="2"/>
      <c r="R117" s="22">
        <f t="shared" si="13"/>
        <v>0.65403105087828151</v>
      </c>
      <c r="S117" s="2"/>
      <c r="T117" s="2"/>
      <c r="U117" s="2"/>
      <c r="V117" s="22">
        <f t="shared" si="14"/>
        <v>0</v>
      </c>
      <c r="W117" s="2"/>
      <c r="X117" s="2">
        <f t="shared" si="15"/>
        <v>2394333</v>
      </c>
      <c r="Y117" s="2"/>
      <c r="Z117" s="22">
        <f t="shared" si="16"/>
        <v>0</v>
      </c>
    </row>
    <row r="118" spans="1:26" s="24" customFormat="1" hidden="1" outlineLevel="1" x14ac:dyDescent="0.25">
      <c r="A118" s="51"/>
      <c r="B118" s="11" t="str">
        <f>CONCATENATE("          ", "5501", " - ", "FREIGHT-IN-NEW TEXT")</f>
        <v xml:space="preserve">          5501 - FREIGHT-IN-NEW TEXT</v>
      </c>
      <c r="C118" s="11"/>
      <c r="D118" s="2">
        <v>990.19</v>
      </c>
      <c r="E118" s="2"/>
      <c r="F118" s="22">
        <f t="shared" si="9"/>
        <v>5.7989260926960273E-3</v>
      </c>
      <c r="G118" s="2"/>
      <c r="H118" s="2"/>
      <c r="I118" s="2"/>
      <c r="J118" s="22">
        <f t="shared" si="10"/>
        <v>0</v>
      </c>
      <c r="K118" s="2"/>
      <c r="L118" s="2">
        <f t="shared" si="11"/>
        <v>990.19</v>
      </c>
      <c r="M118" s="2"/>
      <c r="N118" s="22">
        <f t="shared" si="12"/>
        <v>0</v>
      </c>
      <c r="O118" s="11"/>
      <c r="P118" s="2">
        <v>35048.81</v>
      </c>
      <c r="Q118" s="2"/>
      <c r="R118" s="22">
        <f t="shared" si="13"/>
        <v>9.5738604598162511E-3</v>
      </c>
      <c r="S118" s="2"/>
      <c r="T118" s="2"/>
      <c r="U118" s="2"/>
      <c r="V118" s="22">
        <f t="shared" si="14"/>
        <v>0</v>
      </c>
      <c r="W118" s="2"/>
      <c r="X118" s="2">
        <f t="shared" si="15"/>
        <v>35048.81</v>
      </c>
      <c r="Y118" s="2"/>
      <c r="Z118" s="22">
        <f t="shared" si="16"/>
        <v>0</v>
      </c>
    </row>
    <row r="119" spans="1:26" s="24" customFormat="1" hidden="1" outlineLevel="1" x14ac:dyDescent="0.25">
      <c r="A119" s="51"/>
      <c r="B119" s="11" t="str">
        <f>CONCATENATE("          ", "5502", " - ", "FREIGHT-IN-USED TEXT")</f>
        <v xml:space="preserve">          5502 - FREIGHT-IN-USED TEXT</v>
      </c>
      <c r="C119" s="11"/>
      <c r="D119" s="2">
        <v>388.37</v>
      </c>
      <c r="E119" s="2"/>
      <c r="F119" s="22">
        <f t="shared" si="9"/>
        <v>2.2744411947407629E-3</v>
      </c>
      <c r="G119" s="2"/>
      <c r="H119" s="2"/>
      <c r="I119" s="2"/>
      <c r="J119" s="22">
        <f t="shared" si="10"/>
        <v>0</v>
      </c>
      <c r="K119" s="2"/>
      <c r="L119" s="2">
        <f t="shared" si="11"/>
        <v>388.37</v>
      </c>
      <c r="M119" s="2"/>
      <c r="N119" s="22">
        <f t="shared" si="12"/>
        <v>0</v>
      </c>
      <c r="O119" s="11"/>
      <c r="P119" s="2">
        <v>11133.09</v>
      </c>
      <c r="Q119" s="2"/>
      <c r="R119" s="22">
        <f t="shared" si="13"/>
        <v>3.0410918415368655E-3</v>
      </c>
      <c r="S119" s="2"/>
      <c r="T119" s="2"/>
      <c r="U119" s="2"/>
      <c r="V119" s="22">
        <f t="shared" si="14"/>
        <v>0</v>
      </c>
      <c r="W119" s="2"/>
      <c r="X119" s="2">
        <f t="shared" si="15"/>
        <v>11133.09</v>
      </c>
      <c r="Y119" s="2"/>
      <c r="Z119" s="22">
        <f t="shared" si="16"/>
        <v>0</v>
      </c>
    </row>
    <row r="120" spans="1:26" s="24" customFormat="1" hidden="1" outlineLevel="1" x14ac:dyDescent="0.25">
      <c r="A120" s="51"/>
      <c r="B120" s="11" t="str">
        <f>CONCATENATE("          ", "5504", " - ", "FREIGHT-IN-DIGITAL TEXT")</f>
        <v xml:space="preserve">          5504 - FREIGHT-IN-DIGITAL TEXT</v>
      </c>
      <c r="C120" s="11"/>
      <c r="D120" s="2"/>
      <c r="E120" s="2"/>
      <c r="F120" s="22">
        <f t="shared" si="9"/>
        <v>0</v>
      </c>
      <c r="G120" s="2"/>
      <c r="H120" s="2"/>
      <c r="I120" s="2"/>
      <c r="J120" s="22">
        <f t="shared" si="10"/>
        <v>0</v>
      </c>
      <c r="K120" s="2"/>
      <c r="L120" s="2">
        <f t="shared" si="11"/>
        <v>0</v>
      </c>
      <c r="M120" s="2"/>
      <c r="N120" s="22">
        <f t="shared" si="12"/>
        <v>0</v>
      </c>
      <c r="O120" s="11"/>
      <c r="P120" s="2">
        <v>21.98</v>
      </c>
      <c r="Q120" s="2"/>
      <c r="R120" s="22">
        <f t="shared" si="13"/>
        <v>6.0040113460845372E-6</v>
      </c>
      <c r="S120" s="2"/>
      <c r="T120" s="2"/>
      <c r="U120" s="2"/>
      <c r="V120" s="22">
        <f t="shared" si="14"/>
        <v>0</v>
      </c>
      <c r="W120" s="2"/>
      <c r="X120" s="2">
        <f t="shared" si="15"/>
        <v>21.98</v>
      </c>
      <c r="Y120" s="2"/>
      <c r="Z120" s="22">
        <f t="shared" si="16"/>
        <v>0</v>
      </c>
    </row>
    <row r="121" spans="1:26" s="24" customFormat="1" hidden="1" outlineLevel="1" x14ac:dyDescent="0.25">
      <c r="A121" s="51"/>
      <c r="B121" s="11" t="str">
        <f>CONCATENATE("          ", "5513", " - ", "FREIGHT-IN-TRADE BOOKS")</f>
        <v xml:space="preserve">          5513 - FREIGHT-IN-TRADE BOOKS</v>
      </c>
      <c r="C121" s="11"/>
      <c r="D121" s="2">
        <v>26.46</v>
      </c>
      <c r="E121" s="2"/>
      <c r="F121" s="22">
        <f t="shared" si="9"/>
        <v>1.5495973945680815E-4</v>
      </c>
      <c r="G121" s="2"/>
      <c r="H121" s="2"/>
      <c r="I121" s="2"/>
      <c r="J121" s="22">
        <f t="shared" si="10"/>
        <v>0</v>
      </c>
      <c r="K121" s="2"/>
      <c r="L121" s="2">
        <f t="shared" si="11"/>
        <v>26.46</v>
      </c>
      <c r="M121" s="2"/>
      <c r="N121" s="22">
        <f t="shared" si="12"/>
        <v>0</v>
      </c>
      <c r="O121" s="11"/>
      <c r="P121" s="2">
        <v>26.46</v>
      </c>
      <c r="Q121" s="2"/>
      <c r="R121" s="22">
        <f t="shared" si="13"/>
        <v>7.227758881592214E-6</v>
      </c>
      <c r="S121" s="2"/>
      <c r="T121" s="2"/>
      <c r="U121" s="2"/>
      <c r="V121" s="22">
        <f t="shared" si="14"/>
        <v>0</v>
      </c>
      <c r="W121" s="2"/>
      <c r="X121" s="2">
        <f t="shared" si="15"/>
        <v>26.46</v>
      </c>
      <c r="Y121" s="2"/>
      <c r="Z121" s="22">
        <f t="shared" si="16"/>
        <v>0</v>
      </c>
    </row>
    <row r="122" spans="1:26" s="24" customFormat="1" hidden="1" outlineLevel="1" x14ac:dyDescent="0.25">
      <c r="A122" s="51"/>
      <c r="B122" s="11" t="str">
        <f>CONCATENATE("          ", "5525", " - ", "FREIGHT-IN-TEST FORMS")</f>
        <v xml:space="preserve">          5525 - FREIGHT-IN-TEST FORMS</v>
      </c>
      <c r="C122" s="11"/>
      <c r="D122" s="2"/>
      <c r="E122" s="2"/>
      <c r="F122" s="22">
        <f t="shared" si="9"/>
        <v>0</v>
      </c>
      <c r="G122" s="2"/>
      <c r="H122" s="2"/>
      <c r="I122" s="2"/>
      <c r="J122" s="22">
        <f t="shared" si="10"/>
        <v>0</v>
      </c>
      <c r="K122" s="2"/>
      <c r="L122" s="2">
        <f t="shared" si="11"/>
        <v>0</v>
      </c>
      <c r="M122" s="2"/>
      <c r="N122" s="22">
        <f t="shared" si="12"/>
        <v>0</v>
      </c>
      <c r="O122" s="11"/>
      <c r="P122" s="2">
        <v>48.14</v>
      </c>
      <c r="Q122" s="2"/>
      <c r="R122" s="22">
        <f t="shared" si="13"/>
        <v>1.3149822848066862E-5</v>
      </c>
      <c r="S122" s="2"/>
      <c r="T122" s="2"/>
      <c r="U122" s="2"/>
      <c r="V122" s="22">
        <f t="shared" si="14"/>
        <v>0</v>
      </c>
      <c r="W122" s="2"/>
      <c r="X122" s="2">
        <f t="shared" si="15"/>
        <v>48.14</v>
      </c>
      <c r="Y122" s="2"/>
      <c r="Z122" s="22">
        <f t="shared" si="16"/>
        <v>0</v>
      </c>
    </row>
    <row r="123" spans="1:26" s="24" customFormat="1" hidden="1" outlineLevel="1" x14ac:dyDescent="0.25">
      <c r="A123" s="51"/>
      <c r="B123" s="11" t="str">
        <f>CONCATENATE("          ", "5527", " - ", "FREIGHT-IN-SCHOOL SUPPLIES")</f>
        <v xml:space="preserve">          5527 - FREIGHT-IN-SCHOOL SUPPLIES</v>
      </c>
      <c r="C123" s="11"/>
      <c r="D123" s="2"/>
      <c r="E123" s="2"/>
      <c r="F123" s="22">
        <f t="shared" si="9"/>
        <v>0</v>
      </c>
      <c r="G123" s="2"/>
      <c r="H123" s="2"/>
      <c r="I123" s="2"/>
      <c r="J123" s="22">
        <f t="shared" si="10"/>
        <v>0</v>
      </c>
      <c r="K123" s="2"/>
      <c r="L123" s="2">
        <f t="shared" si="11"/>
        <v>0</v>
      </c>
      <c r="M123" s="2"/>
      <c r="N123" s="22">
        <f t="shared" si="12"/>
        <v>0</v>
      </c>
      <c r="O123" s="11"/>
      <c r="P123" s="2">
        <v>56</v>
      </c>
      <c r="Q123" s="2"/>
      <c r="R123" s="22">
        <f t="shared" si="13"/>
        <v>1.5296844193845956E-5</v>
      </c>
      <c r="S123" s="2"/>
      <c r="T123" s="2"/>
      <c r="U123" s="2"/>
      <c r="V123" s="22">
        <f t="shared" si="14"/>
        <v>0</v>
      </c>
      <c r="W123" s="2"/>
      <c r="X123" s="2">
        <f t="shared" si="15"/>
        <v>56</v>
      </c>
      <c r="Y123" s="2"/>
      <c r="Z123" s="22">
        <f t="shared" si="16"/>
        <v>0</v>
      </c>
    </row>
    <row r="124" spans="1:26" s="24" customFormat="1" hidden="1" outlineLevel="1" x14ac:dyDescent="0.25">
      <c r="A124" s="51"/>
      <c r="B124" s="11" t="str">
        <f>CONCATENATE("          ", "5528", " - ", "FREIGHT-IN-ART/TECH")</f>
        <v xml:space="preserve">          5528 - FREIGHT-IN-ART/TECH</v>
      </c>
      <c r="C124" s="11"/>
      <c r="D124" s="2">
        <v>1.72</v>
      </c>
      <c r="E124" s="2"/>
      <c r="F124" s="22">
        <f t="shared" si="9"/>
        <v>1.0072968702407786E-5</v>
      </c>
      <c r="G124" s="2"/>
      <c r="H124" s="2"/>
      <c r="I124" s="2"/>
      <c r="J124" s="22">
        <f t="shared" si="10"/>
        <v>0</v>
      </c>
      <c r="K124" s="2"/>
      <c r="L124" s="2">
        <f t="shared" si="11"/>
        <v>1.72</v>
      </c>
      <c r="M124" s="2"/>
      <c r="N124" s="22">
        <f t="shared" si="12"/>
        <v>0</v>
      </c>
      <c r="O124" s="11"/>
      <c r="P124" s="2">
        <v>285.92</v>
      </c>
      <c r="Q124" s="2"/>
      <c r="R124" s="22">
        <f t="shared" si="13"/>
        <v>7.8101315926864927E-5</v>
      </c>
      <c r="S124" s="2"/>
      <c r="T124" s="2"/>
      <c r="U124" s="2"/>
      <c r="V124" s="22">
        <f t="shared" si="14"/>
        <v>0</v>
      </c>
      <c r="W124" s="2"/>
      <c r="X124" s="2">
        <f t="shared" si="15"/>
        <v>285.92</v>
      </c>
      <c r="Y124" s="2"/>
      <c r="Z124" s="22">
        <f t="shared" si="16"/>
        <v>0</v>
      </c>
    </row>
    <row r="125" spans="1:26" s="24" customFormat="1" hidden="1" outlineLevel="1" x14ac:dyDescent="0.25">
      <c r="A125" s="51"/>
      <c r="B125" s="11" t="str">
        <f>CONCATENATE("          ", "5540", " - ", "FREIGHT-IN-LOGO CLOTHING")</f>
        <v xml:space="preserve">          5540 - FREIGHT-IN-LOGO CLOTHING</v>
      </c>
      <c r="C125" s="11"/>
      <c r="D125" s="2">
        <v>1333.15</v>
      </c>
      <c r="E125" s="2"/>
      <c r="F125" s="22">
        <f t="shared" si="9"/>
        <v>7.8074292009389194E-3</v>
      </c>
      <c r="G125" s="2"/>
      <c r="H125" s="2"/>
      <c r="I125" s="2"/>
      <c r="J125" s="22">
        <f t="shared" si="10"/>
        <v>0</v>
      </c>
      <c r="K125" s="2"/>
      <c r="L125" s="2">
        <f t="shared" si="11"/>
        <v>1333.15</v>
      </c>
      <c r="M125" s="2"/>
      <c r="N125" s="22">
        <f t="shared" si="12"/>
        <v>0</v>
      </c>
      <c r="O125" s="11"/>
      <c r="P125" s="2">
        <v>4535.4799999999996</v>
      </c>
      <c r="Q125" s="2"/>
      <c r="R125" s="22">
        <f t="shared" si="13"/>
        <v>1.2389023375768652E-3</v>
      </c>
      <c r="S125" s="2"/>
      <c r="T125" s="2"/>
      <c r="U125" s="2"/>
      <c r="V125" s="22">
        <f t="shared" si="14"/>
        <v>0</v>
      </c>
      <c r="W125" s="2"/>
      <c r="X125" s="2">
        <f t="shared" si="15"/>
        <v>4535.4799999999996</v>
      </c>
      <c r="Y125" s="2"/>
      <c r="Z125" s="22">
        <f t="shared" si="16"/>
        <v>0</v>
      </c>
    </row>
    <row r="126" spans="1:26" s="24" customFormat="1" hidden="1" outlineLevel="1" x14ac:dyDescent="0.25">
      <c r="A126" s="51"/>
      <c r="B126" s="11" t="str">
        <f>CONCATENATE("          ", "5541", " - ", "FREIGHT-IN-LOGO GIFTS")</f>
        <v xml:space="preserve">          5541 - FREIGHT-IN-LOGO GIFTS</v>
      </c>
      <c r="C126" s="11"/>
      <c r="D126" s="2">
        <v>301.06</v>
      </c>
      <c r="E126" s="2"/>
      <c r="F126" s="22">
        <f t="shared" si="9"/>
        <v>1.7631209055505165E-3</v>
      </c>
      <c r="G126" s="2"/>
      <c r="H126" s="2"/>
      <c r="I126" s="2"/>
      <c r="J126" s="22">
        <f t="shared" si="10"/>
        <v>0</v>
      </c>
      <c r="K126" s="2"/>
      <c r="L126" s="2">
        <f t="shared" si="11"/>
        <v>301.06</v>
      </c>
      <c r="M126" s="2"/>
      <c r="N126" s="22">
        <f t="shared" si="12"/>
        <v>0</v>
      </c>
      <c r="O126" s="11"/>
      <c r="P126" s="2">
        <v>1435.87</v>
      </c>
      <c r="Q126" s="2"/>
      <c r="R126" s="22">
        <f t="shared" si="13"/>
        <v>3.9221927986817125E-4</v>
      </c>
      <c r="S126" s="2"/>
      <c r="T126" s="2"/>
      <c r="U126" s="2"/>
      <c r="V126" s="22">
        <f t="shared" si="14"/>
        <v>0</v>
      </c>
      <c r="W126" s="2"/>
      <c r="X126" s="2">
        <f t="shared" si="15"/>
        <v>1435.87</v>
      </c>
      <c r="Y126" s="2"/>
      <c r="Z126" s="22">
        <f t="shared" si="16"/>
        <v>0</v>
      </c>
    </row>
    <row r="127" spans="1:26" s="24" customFormat="1" hidden="1" outlineLevel="1" x14ac:dyDescent="0.25">
      <c r="A127" s="51"/>
      <c r="B127" s="11" t="str">
        <f>CONCATENATE("          ", "5542", " - ", "FREIGHT-IN-EVERYDAY GIFTS")</f>
        <v xml:space="preserve">          5542 - FREIGHT-IN-EVERYDAY GIFTS</v>
      </c>
      <c r="C127" s="11"/>
      <c r="D127" s="2">
        <v>21</v>
      </c>
      <c r="E127" s="2"/>
      <c r="F127" s="22">
        <f t="shared" si="9"/>
        <v>1.2298392020381599E-4</v>
      </c>
      <c r="G127" s="2"/>
      <c r="H127" s="2"/>
      <c r="I127" s="2"/>
      <c r="J127" s="22">
        <f t="shared" si="10"/>
        <v>0</v>
      </c>
      <c r="K127" s="2"/>
      <c r="L127" s="2">
        <f t="shared" si="11"/>
        <v>21</v>
      </c>
      <c r="M127" s="2"/>
      <c r="N127" s="22">
        <f t="shared" si="12"/>
        <v>0</v>
      </c>
      <c r="O127" s="11"/>
      <c r="P127" s="2">
        <v>196.55</v>
      </c>
      <c r="Q127" s="2"/>
      <c r="R127" s="22">
        <f t="shared" si="13"/>
        <v>5.3689191541078978E-5</v>
      </c>
      <c r="S127" s="2"/>
      <c r="T127" s="2"/>
      <c r="U127" s="2"/>
      <c r="V127" s="22">
        <f t="shared" si="14"/>
        <v>0</v>
      </c>
      <c r="W127" s="2"/>
      <c r="X127" s="2">
        <f t="shared" si="15"/>
        <v>196.55</v>
      </c>
      <c r="Y127" s="2"/>
      <c r="Z127" s="22">
        <f t="shared" si="16"/>
        <v>0</v>
      </c>
    </row>
    <row r="128" spans="1:26" s="24" customFormat="1" hidden="1" outlineLevel="1" x14ac:dyDescent="0.25">
      <c r="A128" s="51"/>
      <c r="B128" s="11" t="str">
        <f>CONCATENATE("          ", "5543", " - ", "FREIGHT-IN-CARDS")</f>
        <v xml:space="preserve">          5543 - FREIGHT-IN-CARDS</v>
      </c>
      <c r="C128" s="11"/>
      <c r="D128" s="2">
        <v>6323.12</v>
      </c>
      <c r="E128" s="2"/>
      <c r="F128" s="22">
        <f t="shared" si="9"/>
        <v>3.7030575500912051E-2</v>
      </c>
      <c r="G128" s="2"/>
      <c r="H128" s="2"/>
      <c r="I128" s="2"/>
      <c r="J128" s="22">
        <f t="shared" si="10"/>
        <v>0</v>
      </c>
      <c r="K128" s="2"/>
      <c r="L128" s="2">
        <f t="shared" si="11"/>
        <v>6323.12</v>
      </c>
      <c r="M128" s="2"/>
      <c r="N128" s="22">
        <f t="shared" si="12"/>
        <v>0</v>
      </c>
      <c r="O128" s="11"/>
      <c r="P128" s="2">
        <v>6512.31</v>
      </c>
      <c r="Q128" s="2"/>
      <c r="R128" s="22">
        <f t="shared" si="13"/>
        <v>1.7788891323575885E-3</v>
      </c>
      <c r="S128" s="2"/>
      <c r="T128" s="2"/>
      <c r="U128" s="2"/>
      <c r="V128" s="22">
        <f t="shared" si="14"/>
        <v>0</v>
      </c>
      <c r="W128" s="2"/>
      <c r="X128" s="2">
        <f t="shared" si="15"/>
        <v>6512.31</v>
      </c>
      <c r="Y128" s="2"/>
      <c r="Z128" s="22">
        <f t="shared" si="16"/>
        <v>0</v>
      </c>
    </row>
    <row r="129" spans="1:26" s="24" customFormat="1" hidden="1" outlineLevel="1" x14ac:dyDescent="0.25">
      <c r="A129" s="51"/>
      <c r="B129" s="11" t="str">
        <f>CONCATENATE("          ", "5545", " - ", "FREIGHT-IN-SPECIAL ORDERS")</f>
        <v xml:space="preserve">          5545 - FREIGHT-IN-SPECIAL ORDERS</v>
      </c>
      <c r="C129" s="11"/>
      <c r="D129" s="2">
        <v>37.590000000000003</v>
      </c>
      <c r="E129" s="2"/>
      <c r="F129" s="22">
        <f t="shared" si="9"/>
        <v>2.2014121716483067E-4</v>
      </c>
      <c r="G129" s="2"/>
      <c r="H129" s="2"/>
      <c r="I129" s="2"/>
      <c r="J129" s="22">
        <f t="shared" si="10"/>
        <v>0</v>
      </c>
      <c r="K129" s="2"/>
      <c r="L129" s="2">
        <f t="shared" si="11"/>
        <v>37.590000000000003</v>
      </c>
      <c r="M129" s="2"/>
      <c r="N129" s="22">
        <f t="shared" si="12"/>
        <v>0</v>
      </c>
      <c r="O129" s="11"/>
      <c r="P129" s="2">
        <v>887.86</v>
      </c>
      <c r="Q129" s="2"/>
      <c r="R129" s="22">
        <f t="shared" si="13"/>
        <v>2.4252600153478696E-4</v>
      </c>
      <c r="S129" s="2"/>
      <c r="T129" s="2"/>
      <c r="U129" s="2"/>
      <c r="V129" s="22">
        <f t="shared" si="14"/>
        <v>0</v>
      </c>
      <c r="W129" s="2"/>
      <c r="X129" s="2">
        <f t="shared" si="15"/>
        <v>887.86</v>
      </c>
      <c r="Y129" s="2"/>
      <c r="Z129" s="22">
        <f t="shared" si="16"/>
        <v>0</v>
      </c>
    </row>
    <row r="130" spans="1:26" s="24" customFormat="1" hidden="1" outlineLevel="1" x14ac:dyDescent="0.25">
      <c r="A130" s="51"/>
      <c r="B130" s="11" t="str">
        <f>CONCATENATE("          ", "5582", " - ", "FREIGHT-IN-COMPUTER HARDWARE")</f>
        <v xml:space="preserve">          5582 - FREIGHT-IN-COMPUTER HARDWARE</v>
      </c>
      <c r="C130" s="11"/>
      <c r="D130" s="2"/>
      <c r="E130" s="2"/>
      <c r="F130" s="22">
        <f t="shared" si="9"/>
        <v>0</v>
      </c>
      <c r="G130" s="2"/>
      <c r="H130" s="2"/>
      <c r="I130" s="2"/>
      <c r="J130" s="22">
        <f t="shared" si="10"/>
        <v>0</v>
      </c>
      <c r="K130" s="2"/>
      <c r="L130" s="2">
        <f t="shared" si="11"/>
        <v>0</v>
      </c>
      <c r="M130" s="2"/>
      <c r="N130" s="22">
        <f t="shared" si="12"/>
        <v>0</v>
      </c>
      <c r="O130" s="11"/>
      <c r="P130" s="2">
        <v>94</v>
      </c>
      <c r="Q130" s="2"/>
      <c r="R130" s="22">
        <f t="shared" si="13"/>
        <v>2.5676845611098568E-5</v>
      </c>
      <c r="S130" s="2"/>
      <c r="T130" s="2"/>
      <c r="U130" s="2"/>
      <c r="V130" s="22">
        <f t="shared" si="14"/>
        <v>0</v>
      </c>
      <c r="W130" s="2"/>
      <c r="X130" s="2">
        <f t="shared" si="15"/>
        <v>94</v>
      </c>
      <c r="Y130" s="2"/>
      <c r="Z130" s="22">
        <f t="shared" si="16"/>
        <v>0</v>
      </c>
    </row>
    <row r="131" spans="1:26" s="24" customFormat="1" hidden="1" outlineLevel="1" x14ac:dyDescent="0.25">
      <c r="A131" s="51"/>
      <c r="B131" s="11" t="str">
        <f>CONCATENATE("          ", "5583", " - ", "FREIGHT-IN-COMPUTER EQUIPMENT")</f>
        <v xml:space="preserve">          5583 - FREIGHT-IN-COMPUTER EQUIPMENT</v>
      </c>
      <c r="C131" s="11"/>
      <c r="D131" s="2"/>
      <c r="E131" s="2"/>
      <c r="F131" s="22">
        <f t="shared" si="9"/>
        <v>0</v>
      </c>
      <c r="G131" s="2"/>
      <c r="H131" s="2"/>
      <c r="I131" s="2"/>
      <c r="J131" s="22">
        <f t="shared" si="10"/>
        <v>0</v>
      </c>
      <c r="K131" s="2"/>
      <c r="L131" s="2">
        <f t="shared" si="11"/>
        <v>0</v>
      </c>
      <c r="M131" s="2"/>
      <c r="N131" s="22">
        <f t="shared" si="12"/>
        <v>0</v>
      </c>
      <c r="O131" s="11"/>
      <c r="P131" s="2">
        <v>225.17</v>
      </c>
      <c r="Q131" s="2"/>
      <c r="R131" s="22">
        <f t="shared" si="13"/>
        <v>6.150697155586239E-5</v>
      </c>
      <c r="S131" s="2"/>
      <c r="T131" s="2"/>
      <c r="U131" s="2"/>
      <c r="V131" s="22">
        <f t="shared" si="14"/>
        <v>0</v>
      </c>
      <c r="W131" s="2"/>
      <c r="X131" s="2">
        <f t="shared" si="15"/>
        <v>225.17</v>
      </c>
      <c r="Y131" s="2"/>
      <c r="Z131" s="22">
        <f t="shared" si="16"/>
        <v>0</v>
      </c>
    </row>
    <row r="132" spans="1:26" s="24" customFormat="1" hidden="1" outlineLevel="1" x14ac:dyDescent="0.25">
      <c r="A132" s="51"/>
      <c r="B132" s="11" t="str">
        <f>CONCATENATE("          ", "5586", " - ", "FREIGHT-IN-COMPUTER SUPPLIES")</f>
        <v xml:space="preserve">          5586 - FREIGHT-IN-COMPUTER SUPPLIES</v>
      </c>
      <c r="C132" s="11"/>
      <c r="D132" s="2"/>
      <c r="E132" s="2"/>
      <c r="F132" s="22">
        <f t="shared" si="9"/>
        <v>0</v>
      </c>
      <c r="G132" s="2"/>
      <c r="H132" s="2"/>
      <c r="I132" s="2"/>
      <c r="J132" s="22">
        <f t="shared" si="10"/>
        <v>0</v>
      </c>
      <c r="K132" s="2"/>
      <c r="L132" s="2">
        <f t="shared" si="11"/>
        <v>0</v>
      </c>
      <c r="M132" s="2"/>
      <c r="N132" s="22">
        <f t="shared" si="12"/>
        <v>0</v>
      </c>
      <c r="O132" s="11"/>
      <c r="P132" s="2">
        <v>24.12</v>
      </c>
      <c r="Q132" s="2"/>
      <c r="R132" s="22">
        <f t="shared" si="13"/>
        <v>6.5885693206350795E-6</v>
      </c>
      <c r="S132" s="2"/>
      <c r="T132" s="2"/>
      <c r="U132" s="2"/>
      <c r="V132" s="22">
        <f t="shared" si="14"/>
        <v>0</v>
      </c>
      <c r="W132" s="2"/>
      <c r="X132" s="2">
        <f t="shared" si="15"/>
        <v>24.12</v>
      </c>
      <c r="Y132" s="2"/>
      <c r="Z132" s="22">
        <f t="shared" si="16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5" t="s">
        <v>6</v>
      </c>
      <c r="C134" s="25"/>
      <c r="D134" s="21">
        <f>D12-D90</f>
        <v>49046.089999999982</v>
      </c>
      <c r="E134" s="13"/>
      <c r="F134" s="20">
        <f>IF(D$12=0,0,D134/D$12)</f>
        <v>0.28723240089853219</v>
      </c>
      <c r="G134" s="13"/>
      <c r="H134" s="21">
        <f>H12-H90</f>
        <v>224323.00000000006</v>
      </c>
      <c r="I134" s="13"/>
      <c r="J134" s="20">
        <f>IF(H$12=0,0,H134/H$12)</f>
        <v>0.44986513451453447</v>
      </c>
      <c r="K134" s="16"/>
      <c r="L134" s="21">
        <f>+D134-H134</f>
        <v>-175276.91000000009</v>
      </c>
      <c r="M134" s="16"/>
      <c r="N134" s="20">
        <f>IF(H134=0,0,L134/H134)</f>
        <v>-0.78135951284531702</v>
      </c>
      <c r="O134" s="26"/>
      <c r="P134" s="21">
        <f>P12-P90</f>
        <v>917472.95000000065</v>
      </c>
      <c r="Q134" s="13"/>
      <c r="R134" s="20">
        <f>IF(P$12=0,0,P134/P$12)</f>
        <v>0.25061501371818268</v>
      </c>
      <c r="S134" s="13"/>
      <c r="T134" s="21">
        <f>T12-T90</f>
        <v>2001663</v>
      </c>
      <c r="U134" s="13"/>
      <c r="V134" s="20">
        <f>IF(T$12=0,0,T134/T$12)</f>
        <v>0.35181090969679935</v>
      </c>
      <c r="W134" s="16"/>
      <c r="X134" s="21">
        <f>+P134-T134</f>
        <v>-1084190.0499999993</v>
      </c>
      <c r="Y134" s="16"/>
      <c r="Z134" s="20">
        <f>IF(T134=0,0,X134/T134)</f>
        <v>-0.54164464747562369</v>
      </c>
    </row>
    <row r="135" spans="1:26" x14ac:dyDescent="0.25">
      <c r="A135" s="9"/>
      <c r="B135" s="10"/>
      <c r="C135" s="9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x14ac:dyDescent="0.25">
      <c r="A136" s="10"/>
      <c r="B136" s="26" t="s">
        <v>9</v>
      </c>
      <c r="C136" s="10"/>
      <c r="D136" s="19">
        <f>SUM(OSRRefD22x_0)</f>
        <v>248037.63</v>
      </c>
      <c r="E136" s="19"/>
      <c r="F136" s="35">
        <f t="shared" ref="F136:F147" si="17">IF(D$12=0,0,D136/D$12)</f>
        <v>1.4526019093077924</v>
      </c>
      <c r="G136" s="19"/>
      <c r="H136" s="19">
        <f>SUM(OSRRefH22x_0)</f>
        <v>321170.64117696154</v>
      </c>
      <c r="I136" s="19"/>
      <c r="J136" s="35">
        <f t="shared" ref="J136:J147" si="18">IF(H$12=0,0,H136/H$12)</f>
        <v>0.64408675746665767</v>
      </c>
      <c r="K136" s="4"/>
      <c r="L136" s="19">
        <f t="shared" ref="L136:L147" si="19">+D136-H136</f>
        <v>-73133.011176961532</v>
      </c>
      <c r="M136" s="4"/>
      <c r="N136" s="35">
        <f t="shared" ref="N136:N147" si="20">IF(H136=0,0,L136/H136)</f>
        <v>-0.2277076475887036</v>
      </c>
      <c r="O136" s="10"/>
      <c r="P136" s="19">
        <f>SUM(OSRRefP22x_0)</f>
        <v>1425183.5500000003</v>
      </c>
      <c r="Q136" s="19"/>
      <c r="R136" s="35">
        <f t="shared" ref="R136:R147" si="21">IF(P$12=0,0,P136/P$12)</f>
        <v>0.38930019128539767</v>
      </c>
      <c r="S136" s="19"/>
      <c r="T136" s="19">
        <f>SUM(OSRRefT22x_0)</f>
        <v>1981085.8858872885</v>
      </c>
      <c r="U136" s="19"/>
      <c r="V136" s="35">
        <f t="shared" ref="V136:V147" si="22">IF(T$12=0,0,T136/T$12)</f>
        <v>0.34819429029836524</v>
      </c>
      <c r="W136" s="4"/>
      <c r="X136" s="19">
        <f t="shared" ref="X136:X147" si="23">+P136-T136</f>
        <v>-555902.33588728821</v>
      </c>
      <c r="Y136" s="4"/>
      <c r="Z136" s="35">
        <f t="shared" ref="Z136:Z147" si="24">IF(T136=0,0,X136/T136)</f>
        <v>-0.28060486415424174</v>
      </c>
    </row>
    <row r="137" spans="1:26" s="29" customFormat="1" outlineLevel="1" collapsed="1" x14ac:dyDescent="0.25">
      <c r="A137" s="27"/>
      <c r="B137" s="14" t="str">
        <f>CONCATENATE("     ","*Benefits                                         ")</f>
        <v xml:space="preserve">     *Benefits                                         </v>
      </c>
      <c r="C137" s="14"/>
      <c r="D137" s="1">
        <f>SUM(OSRRefD22_0x_0)</f>
        <v>46507.570000000007</v>
      </c>
      <c r="E137" s="1"/>
      <c r="F137" s="5">
        <f t="shared" si="17"/>
        <v>0.27236587036920895</v>
      </c>
      <c r="G137" s="1"/>
      <c r="H137" s="1">
        <f>SUM(OSRRefH22_0x_0)</f>
        <v>43031.588394807695</v>
      </c>
      <c r="I137" s="1"/>
      <c r="J137" s="5">
        <f t="shared" si="18"/>
        <v>8.6297041772819716E-2</v>
      </c>
      <c r="K137" s="1"/>
      <c r="L137" s="1">
        <f t="shared" si="19"/>
        <v>3475.9816051923117</v>
      </c>
      <c r="M137" s="1"/>
      <c r="N137" s="5">
        <f t="shared" si="20"/>
        <v>8.0777441290355273E-2</v>
      </c>
      <c r="O137" s="14"/>
      <c r="P137" s="1">
        <f>SUM(OSRRefP22_0x_0)</f>
        <v>239376.11000000002</v>
      </c>
      <c r="Q137" s="1"/>
      <c r="R137" s="5">
        <f t="shared" si="21"/>
        <v>6.5387483185695192E-2</v>
      </c>
      <c r="S137" s="1"/>
      <c r="T137" s="1">
        <f>SUM(OSRRefT22_0x_0)</f>
        <v>243104.69058544224</v>
      </c>
      <c r="U137" s="1"/>
      <c r="V137" s="5">
        <f t="shared" si="22"/>
        <v>4.272791291362401E-2</v>
      </c>
      <c r="W137" s="1"/>
      <c r="X137" s="1">
        <f t="shared" si="23"/>
        <v>-3728.5805854422215</v>
      </c>
      <c r="Y137" s="1"/>
      <c r="Z137" s="5">
        <f t="shared" si="24"/>
        <v>-1.5337345307748246E-2</v>
      </c>
    </row>
    <row r="138" spans="1:26" s="24" customFormat="1" hidden="1" outlineLevel="2" x14ac:dyDescent="0.25">
      <c r="A138" s="28"/>
      <c r="B138" s="11" t="str">
        <f>CONCATENATE("          ", "6111", " - ", "F.I.C.A.")</f>
        <v xml:space="preserve">          6111 - F.I.C.A.</v>
      </c>
      <c r="C138" s="11"/>
      <c r="D138" s="6">
        <v>6940.36</v>
      </c>
      <c r="E138" s="2"/>
      <c r="F138" s="7">
        <f t="shared" si="17"/>
        <v>4.0645365734559825E-2</v>
      </c>
      <c r="G138" s="2"/>
      <c r="H138" s="6">
        <v>6755.672504423078</v>
      </c>
      <c r="I138" s="2"/>
      <c r="J138" s="7">
        <f t="shared" si="18"/>
        <v>1.3548060252129426E-2</v>
      </c>
      <c r="K138" s="2"/>
      <c r="L138" s="6">
        <f t="shared" si="19"/>
        <v>184.68749557692172</v>
      </c>
      <c r="M138" s="2"/>
      <c r="N138" s="7">
        <f t="shared" si="20"/>
        <v>2.7338136278217011E-2</v>
      </c>
      <c r="O138" s="11"/>
      <c r="P138" s="6">
        <v>51147.24</v>
      </c>
      <c r="Q138" s="2"/>
      <c r="R138" s="7">
        <f t="shared" si="21"/>
        <v>1.397127430759367E-2</v>
      </c>
      <c r="S138" s="2"/>
      <c r="T138" s="6">
        <v>48003.928318326922</v>
      </c>
      <c r="U138" s="2"/>
      <c r="V138" s="7">
        <f t="shared" si="22"/>
        <v>8.4371373656257527E-3</v>
      </c>
      <c r="W138" s="2"/>
      <c r="X138" s="6">
        <f t="shared" si="23"/>
        <v>3143.3116816730762</v>
      </c>
      <c r="Y138" s="2"/>
      <c r="Z138" s="7">
        <f t="shared" si="24"/>
        <v>6.5480301129293705E-2</v>
      </c>
    </row>
    <row r="139" spans="1:26" s="24" customFormat="1" hidden="1" outlineLevel="2" x14ac:dyDescent="0.25">
      <c r="A139" s="28"/>
      <c r="B139" s="11" t="str">
        <f>CONCATENATE("          ", "6112", " - ", "COMPENSATION INSURANCE")</f>
        <v xml:space="preserve">          6112 - COMPENSATION INSURANCE</v>
      </c>
      <c r="C139" s="11"/>
      <c r="D139" s="6">
        <v>3035.04</v>
      </c>
      <c r="E139" s="2"/>
      <c r="F139" s="7">
        <f t="shared" si="17"/>
        <v>1.7774338913113797E-2</v>
      </c>
      <c r="G139" s="2"/>
      <c r="H139" s="6">
        <v>2727.202048076922</v>
      </c>
      <c r="I139" s="2"/>
      <c r="J139" s="7">
        <f t="shared" si="18"/>
        <v>5.4692256977948673E-3</v>
      </c>
      <c r="K139" s="2"/>
      <c r="L139" s="6">
        <f t="shared" si="19"/>
        <v>307.83795192307798</v>
      </c>
      <c r="M139" s="2"/>
      <c r="N139" s="7">
        <f t="shared" si="20"/>
        <v>0.11287684098805549</v>
      </c>
      <c r="O139" s="11"/>
      <c r="P139" s="6">
        <v>13462.39</v>
      </c>
      <c r="Q139" s="2"/>
      <c r="R139" s="7">
        <f t="shared" si="21"/>
        <v>3.6773586126212471E-3</v>
      </c>
      <c r="S139" s="2"/>
      <c r="T139" s="6">
        <v>16823.909214423071</v>
      </c>
      <c r="U139" s="2"/>
      <c r="V139" s="7">
        <f t="shared" si="22"/>
        <v>2.9569586915392581E-3</v>
      </c>
      <c r="W139" s="2"/>
      <c r="X139" s="6">
        <f t="shared" si="23"/>
        <v>-3361.5192144230714</v>
      </c>
      <c r="Y139" s="2"/>
      <c r="Z139" s="7">
        <f t="shared" si="24"/>
        <v>-0.19980607191705804</v>
      </c>
    </row>
    <row r="140" spans="1:26" s="24" customFormat="1" hidden="1" outlineLevel="2" x14ac:dyDescent="0.25">
      <c r="A140" s="28"/>
      <c r="B140" s="11" t="str">
        <f>CONCATENATE("          ", "6113", " - ", "GROUP INSURANCE")</f>
        <v xml:space="preserve">          6113 - GROUP INSURANCE</v>
      </c>
      <c r="C140" s="11"/>
      <c r="D140" s="6">
        <v>15836.910000000002</v>
      </c>
      <c r="E140" s="2"/>
      <c r="F140" s="7">
        <f t="shared" si="17"/>
        <v>9.274691789119123E-2</v>
      </c>
      <c r="G140" s="2"/>
      <c r="H140" s="6">
        <v>18233.846153846156</v>
      </c>
      <c r="I140" s="2"/>
      <c r="J140" s="7">
        <f t="shared" si="18"/>
        <v>3.6566788303996137E-2</v>
      </c>
      <c r="K140" s="2"/>
      <c r="L140" s="6">
        <f t="shared" si="19"/>
        <v>-2396.9361538461544</v>
      </c>
      <c r="M140" s="2"/>
      <c r="N140" s="7">
        <f t="shared" si="20"/>
        <v>-0.13145532399595006</v>
      </c>
      <c r="O140" s="11"/>
      <c r="P140" s="6">
        <v>78565.88</v>
      </c>
      <c r="Q140" s="2"/>
      <c r="R140" s="7">
        <f t="shared" si="21"/>
        <v>2.1460893309149968E-2</v>
      </c>
      <c r="S140" s="2"/>
      <c r="T140" s="6">
        <v>93036.153846153815</v>
      </c>
      <c r="U140" s="2"/>
      <c r="V140" s="7">
        <f t="shared" si="22"/>
        <v>1.6351970296351961E-2</v>
      </c>
      <c r="W140" s="2"/>
      <c r="X140" s="6">
        <f t="shared" si="23"/>
        <v>-14470.27384615381</v>
      </c>
      <c r="Y140" s="2"/>
      <c r="Z140" s="7">
        <f t="shared" si="24"/>
        <v>-0.15553387847569564</v>
      </c>
    </row>
    <row r="141" spans="1:26" s="24" customFormat="1" hidden="1" outlineLevel="2" x14ac:dyDescent="0.25">
      <c r="A141" s="28"/>
      <c r="B141" s="11" t="str">
        <f>CONCATENATE("          ", "6114", " - ", "STATE UNEMPLOYMENT INSURANCE")</f>
        <v xml:space="preserve">          6114 - STATE UNEMPLOYMENT INSURANCE</v>
      </c>
      <c r="C141" s="11"/>
      <c r="D141" s="6">
        <v>546.27</v>
      </c>
      <c r="E141" s="2"/>
      <c r="F141" s="7">
        <f t="shared" si="17"/>
        <v>3.1991631471304078E-3</v>
      </c>
      <c r="G141" s="2"/>
      <c r="H141" s="6">
        <v>387.57504999999998</v>
      </c>
      <c r="I141" s="2"/>
      <c r="J141" s="7">
        <f t="shared" si="18"/>
        <v>7.7725646502020457E-4</v>
      </c>
      <c r="K141" s="2"/>
      <c r="L141" s="6">
        <f t="shared" si="19"/>
        <v>158.69495000000001</v>
      </c>
      <c r="M141" s="2"/>
      <c r="N141" s="7">
        <f t="shared" si="20"/>
        <v>0.40945605244713251</v>
      </c>
      <c r="O141" s="11"/>
      <c r="P141" s="6">
        <v>2064.96</v>
      </c>
      <c r="Q141" s="2"/>
      <c r="R141" s="7">
        <f t="shared" si="21"/>
        <v>5.6406020333078831E-4</v>
      </c>
      <c r="S141" s="2"/>
      <c r="T141" s="6">
        <v>2381.2736950000003</v>
      </c>
      <c r="U141" s="2"/>
      <c r="V141" s="7">
        <f t="shared" si="22"/>
        <v>4.1853102389113894E-4</v>
      </c>
      <c r="W141" s="2"/>
      <c r="X141" s="6">
        <f t="shared" si="23"/>
        <v>-316.31369500000028</v>
      </c>
      <c r="Y141" s="2"/>
      <c r="Z141" s="7">
        <f t="shared" si="24"/>
        <v>-0.13283382572283453</v>
      </c>
    </row>
    <row r="142" spans="1:26" s="24" customFormat="1" hidden="1" outlineLevel="2" x14ac:dyDescent="0.25">
      <c r="A142" s="28"/>
      <c r="B142" s="11" t="str">
        <f>CONCATENATE("          ", "6115", " - ", "P.E.R.S.")</f>
        <v xml:space="preserve">          6115 - P.E.R.S.</v>
      </c>
      <c r="C142" s="11"/>
      <c r="D142" s="6">
        <v>8554.51</v>
      </c>
      <c r="E142" s="2"/>
      <c r="F142" s="7">
        <f t="shared" si="17"/>
        <v>5.009843691536886E-2</v>
      </c>
      <c r="G142" s="2"/>
      <c r="H142" s="6">
        <v>4889.0335153846154</v>
      </c>
      <c r="I142" s="2"/>
      <c r="J142" s="7">
        <f t="shared" si="18"/>
        <v>9.8046375986616027E-3</v>
      </c>
      <c r="K142" s="2"/>
      <c r="L142" s="6">
        <f t="shared" si="19"/>
        <v>3665.4764846153848</v>
      </c>
      <c r="M142" s="2"/>
      <c r="N142" s="7">
        <f t="shared" si="20"/>
        <v>0.74973437451001512</v>
      </c>
      <c r="O142" s="11"/>
      <c r="P142" s="6">
        <v>34531.57</v>
      </c>
      <c r="Q142" s="2"/>
      <c r="R142" s="7">
        <f t="shared" si="21"/>
        <v>9.43257225105152E-3</v>
      </c>
      <c r="S142" s="2"/>
      <c r="T142" s="6">
        <v>26889.684334615387</v>
      </c>
      <c r="U142" s="2"/>
      <c r="V142" s="7">
        <f t="shared" si="22"/>
        <v>4.7261123911571598E-3</v>
      </c>
      <c r="W142" s="2"/>
      <c r="X142" s="6">
        <f t="shared" si="23"/>
        <v>7641.8856653846124</v>
      </c>
      <c r="Y142" s="2"/>
      <c r="Z142" s="7">
        <f t="shared" si="24"/>
        <v>0.28419395223420785</v>
      </c>
    </row>
    <row r="143" spans="1:26" s="24" customFormat="1" hidden="1" outlineLevel="2" x14ac:dyDescent="0.25">
      <c r="A143" s="28"/>
      <c r="B143" s="11" t="str">
        <f>CONCATENATE("          ", "6116", " - ", "EDUCATIONAL BENEFITS")</f>
        <v xml:space="preserve">          6116 - EDUCATIONAL BENEFITS</v>
      </c>
      <c r="C143" s="11"/>
      <c r="D143" s="6"/>
      <c r="E143" s="2"/>
      <c r="F143" s="7">
        <f t="shared" si="17"/>
        <v>0</v>
      </c>
      <c r="G143" s="2"/>
      <c r="H143" s="6">
        <v>0</v>
      </c>
      <c r="I143" s="2"/>
      <c r="J143" s="7">
        <f t="shared" si="18"/>
        <v>0</v>
      </c>
      <c r="K143" s="2"/>
      <c r="L143" s="6">
        <f t="shared" si="19"/>
        <v>0</v>
      </c>
      <c r="M143" s="2"/>
      <c r="N143" s="7">
        <f t="shared" si="20"/>
        <v>0</v>
      </c>
      <c r="O143" s="11"/>
      <c r="P143" s="6">
        <v>0</v>
      </c>
      <c r="Q143" s="2"/>
      <c r="R143" s="7">
        <f t="shared" si="21"/>
        <v>0</v>
      </c>
      <c r="S143" s="2"/>
      <c r="T143" s="6">
        <v>0</v>
      </c>
      <c r="U143" s="2"/>
      <c r="V143" s="7">
        <f t="shared" si="22"/>
        <v>0</v>
      </c>
      <c r="W143" s="2"/>
      <c r="X143" s="6">
        <f t="shared" si="23"/>
        <v>0</v>
      </c>
      <c r="Y143" s="2"/>
      <c r="Z143" s="7">
        <f t="shared" si="24"/>
        <v>0</v>
      </c>
    </row>
    <row r="144" spans="1:26" s="24" customFormat="1" hidden="1" outlineLevel="2" x14ac:dyDescent="0.25">
      <c r="A144" s="28"/>
      <c r="B144" s="11" t="str">
        <f>CONCATENATE("          ", "6117", " - ", "RETIREMENT STAFF HOURLY")</f>
        <v xml:space="preserve">          6117 - RETIREMENT STAFF HOURLY</v>
      </c>
      <c r="C144" s="11"/>
      <c r="D144" s="6">
        <v>387.43</v>
      </c>
      <c r="E144" s="2"/>
      <c r="F144" s="7">
        <f t="shared" si="17"/>
        <v>2.268936200217354E-3</v>
      </c>
      <c r="G144" s="2"/>
      <c r="H144" s="6"/>
      <c r="I144" s="2"/>
      <c r="J144" s="7">
        <f t="shared" si="18"/>
        <v>0</v>
      </c>
      <c r="K144" s="2"/>
      <c r="L144" s="6">
        <f t="shared" si="19"/>
        <v>387.43</v>
      </c>
      <c r="M144" s="2"/>
      <c r="N144" s="7">
        <f t="shared" si="20"/>
        <v>0</v>
      </c>
      <c r="O144" s="11"/>
      <c r="P144" s="6">
        <v>2227.73</v>
      </c>
      <c r="Q144" s="2"/>
      <c r="R144" s="7">
        <f t="shared" si="21"/>
        <v>6.0852211992779373E-4</v>
      </c>
      <c r="S144" s="2"/>
      <c r="T144" s="6"/>
      <c r="U144" s="2"/>
      <c r="V144" s="7">
        <f t="shared" si="22"/>
        <v>0</v>
      </c>
      <c r="W144" s="2"/>
      <c r="X144" s="6">
        <f t="shared" si="23"/>
        <v>2227.73</v>
      </c>
      <c r="Y144" s="2"/>
      <c r="Z144" s="7">
        <f t="shared" si="24"/>
        <v>0</v>
      </c>
    </row>
    <row r="145" spans="1:26" s="24" customFormat="1" hidden="1" outlineLevel="2" x14ac:dyDescent="0.25">
      <c r="A145" s="28"/>
      <c r="B145" s="11" t="str">
        <f>CONCATENATE("          ", "6118", " - ", "VACATION")</f>
        <v xml:space="preserve">          6118 - VACATION</v>
      </c>
      <c r="C145" s="11"/>
      <c r="D145" s="6">
        <v>5424</v>
      </c>
      <c r="E145" s="2"/>
      <c r="F145" s="7">
        <f t="shared" si="17"/>
        <v>3.1764989675499906E-2</v>
      </c>
      <c r="G145" s="2"/>
      <c r="H145" s="6">
        <v>4140.4924200000014</v>
      </c>
      <c r="I145" s="2"/>
      <c r="J145" s="7">
        <f t="shared" si="18"/>
        <v>8.3034872905574132E-3</v>
      </c>
      <c r="K145" s="2"/>
      <c r="L145" s="6">
        <f t="shared" si="19"/>
        <v>1283.5075799999986</v>
      </c>
      <c r="M145" s="2"/>
      <c r="N145" s="7">
        <f t="shared" si="20"/>
        <v>0.30998911477297142</v>
      </c>
      <c r="O145" s="11"/>
      <c r="P145" s="6">
        <v>27857.809999999998</v>
      </c>
      <c r="Q145" s="2"/>
      <c r="R145" s="7">
        <f t="shared" si="21"/>
        <v>7.6095817705672097E-3</v>
      </c>
      <c r="S145" s="2"/>
      <c r="T145" s="6">
        <v>22772.708309999995</v>
      </c>
      <c r="U145" s="2"/>
      <c r="V145" s="7">
        <f t="shared" si="22"/>
        <v>4.0025155217441504E-3</v>
      </c>
      <c r="W145" s="2"/>
      <c r="X145" s="6">
        <f t="shared" si="23"/>
        <v>5085.1016900000031</v>
      </c>
      <c r="Y145" s="2"/>
      <c r="Z145" s="7">
        <f t="shared" si="24"/>
        <v>0.22329806454188955</v>
      </c>
    </row>
    <row r="146" spans="1:26" s="24" customFormat="1" hidden="1" outlineLevel="2" x14ac:dyDescent="0.25">
      <c r="A146" s="28"/>
      <c r="B146" s="11" t="str">
        <f>CONCATENATE("          ", "6119", " - ", "SICK LEAVE")</f>
        <v xml:space="preserve">          6119 - SICK LEAVE</v>
      </c>
      <c r="C146" s="11"/>
      <c r="D146" s="6">
        <v>3991.76</v>
      </c>
      <c r="E146" s="2"/>
      <c r="F146" s="7">
        <f t="shared" si="17"/>
        <v>2.3377252062513551E-2</v>
      </c>
      <c r="G146" s="2"/>
      <c r="H146" s="6">
        <v>4097.7667030769198</v>
      </c>
      <c r="I146" s="2"/>
      <c r="J146" s="7">
        <f t="shared" si="18"/>
        <v>8.2178036540563309E-3</v>
      </c>
      <c r="K146" s="2"/>
      <c r="L146" s="6">
        <f t="shared" si="19"/>
        <v>-106.00670307691962</v>
      </c>
      <c r="M146" s="2"/>
      <c r="N146" s="7">
        <f t="shared" si="20"/>
        <v>-2.5869384657091776E-2</v>
      </c>
      <c r="O146" s="11"/>
      <c r="P146" s="6">
        <v>20765.78</v>
      </c>
      <c r="Q146" s="2"/>
      <c r="R146" s="7">
        <f t="shared" si="21"/>
        <v>5.6723375218514721E-3</v>
      </c>
      <c r="S146" s="2"/>
      <c r="T146" s="6">
        <v>24197.032866923058</v>
      </c>
      <c r="U146" s="2"/>
      <c r="V146" s="7">
        <f t="shared" si="22"/>
        <v>4.25285382448272E-3</v>
      </c>
      <c r="W146" s="2"/>
      <c r="X146" s="6">
        <f t="shared" si="23"/>
        <v>-3431.2528669230596</v>
      </c>
      <c r="Y146" s="2"/>
      <c r="Z146" s="7">
        <f t="shared" si="24"/>
        <v>-0.14180469505471993</v>
      </c>
    </row>
    <row r="147" spans="1:26" s="24" customFormat="1" hidden="1" outlineLevel="2" x14ac:dyDescent="0.25">
      <c r="A147" s="28"/>
      <c r="B147" s="11" t="str">
        <f>CONCATENATE("          ", "6156", " - ", "EMPLOYEE MEALS")</f>
        <v xml:space="preserve">          6156 - EMPLOYEE MEALS</v>
      </c>
      <c r="C147" s="11"/>
      <c r="D147" s="6">
        <v>1791.29</v>
      </c>
      <c r="E147" s="2"/>
      <c r="F147" s="7">
        <f t="shared" si="17"/>
        <v>1.0490469829613979E-2</v>
      </c>
      <c r="G147" s="2"/>
      <c r="H147" s="6">
        <v>1800</v>
      </c>
      <c r="I147" s="2"/>
      <c r="J147" s="7">
        <f t="shared" si="18"/>
        <v>3.6097825106037357E-3</v>
      </c>
      <c r="K147" s="2"/>
      <c r="L147" s="6">
        <f t="shared" si="19"/>
        <v>-8.7100000000000364</v>
      </c>
      <c r="M147" s="2"/>
      <c r="N147" s="7">
        <f t="shared" si="20"/>
        <v>-4.838888888888909E-3</v>
      </c>
      <c r="O147" s="11"/>
      <c r="P147" s="6">
        <v>8752.75</v>
      </c>
      <c r="Q147" s="2"/>
      <c r="R147" s="7">
        <f t="shared" si="21"/>
        <v>2.390883089601521E-3</v>
      </c>
      <c r="S147" s="2"/>
      <c r="T147" s="6">
        <v>9000</v>
      </c>
      <c r="U147" s="2"/>
      <c r="V147" s="7">
        <f t="shared" si="22"/>
        <v>1.5818337988318684E-3</v>
      </c>
      <c r="W147" s="2"/>
      <c r="X147" s="6">
        <f t="shared" si="23"/>
        <v>-247.25</v>
      </c>
      <c r="Y147" s="2"/>
      <c r="Z147" s="7">
        <f t="shared" si="24"/>
        <v>-2.7472222222222221E-2</v>
      </c>
    </row>
    <row r="148" spans="1:26" s="29" customFormat="1" outlineLevel="1" collapsed="1" x14ac:dyDescent="0.25">
      <c r="A148" s="27"/>
      <c r="B148" s="14" t="str">
        <f>CONCATENATE("     ","*Payroll                                          ")</f>
        <v xml:space="preserve">     *Payroll                                          </v>
      </c>
      <c r="C148" s="14"/>
      <c r="D148" s="1">
        <f>SUM(OSRRefD22_1x_0)</f>
        <v>99521.64</v>
      </c>
      <c r="E148" s="1"/>
      <c r="F148" s="5">
        <f t="shared" ref="F148:F158" si="25">IF(D$12=0,0,D148/D$12)</f>
        <v>0.58283625868156674</v>
      </c>
      <c r="G148" s="1"/>
      <c r="H148" s="1">
        <f>SUM(OSRRefH22_1x_0)</f>
        <v>136958.05278215386</v>
      </c>
      <c r="I148" s="1"/>
      <c r="J148" s="5">
        <f t="shared" ref="J148:J158" si="26">IF(H$12=0,0,H148/H$12)</f>
        <v>0.27466043534409018</v>
      </c>
      <c r="K148" s="1"/>
      <c r="L148" s="1">
        <f t="shared" ref="L148:L158" si="27">+D148-H148</f>
        <v>-37436.412782153857</v>
      </c>
      <c r="M148" s="1"/>
      <c r="N148" s="5">
        <f t="shared" ref="N148:N158" si="28">IF(H148=0,0,L148/H148)</f>
        <v>-0.273342180482811</v>
      </c>
      <c r="O148" s="14"/>
      <c r="P148" s="1">
        <f>SUM(OSRRefP22_1x_0)</f>
        <v>649889.64</v>
      </c>
      <c r="Q148" s="1"/>
      <c r="R148" s="5">
        <f t="shared" ref="R148:R158" si="29">IF(P$12=0,0,P148/P$12)</f>
        <v>0.17752251011204712</v>
      </c>
      <c r="S148" s="1"/>
      <c r="T148" s="1">
        <f>SUM(OSRRefT22_1x_0)</f>
        <v>852169.19530184637</v>
      </c>
      <c r="U148" s="1"/>
      <c r="V148" s="5">
        <f t="shared" ref="V148:V158" si="30">IF(T$12=0,0,T148/T$12)</f>
        <v>0.14977667060575733</v>
      </c>
      <c r="W148" s="1"/>
      <c r="X148" s="1">
        <f t="shared" ref="X148:X158" si="31">+P148-T148</f>
        <v>-202279.55530184635</v>
      </c>
      <c r="Y148" s="1"/>
      <c r="Z148" s="5">
        <f t="shared" ref="Z148:Z158" si="32">IF(T148=0,0,X148/T148)</f>
        <v>-0.23737018002651109</v>
      </c>
    </row>
    <row r="149" spans="1:26" s="24" customFormat="1" hidden="1" outlineLevel="2" x14ac:dyDescent="0.25">
      <c r="A149" s="28"/>
      <c r="B149" s="11" t="str">
        <f>CONCATENATE("          ", "6001", " - ", "ADMINISTRATIVE SALARIES")</f>
        <v xml:space="preserve">          6001 - ADMINISTRATIVE SALARIES</v>
      </c>
      <c r="C149" s="11"/>
      <c r="D149" s="6">
        <v>3995.45</v>
      </c>
      <c r="E149" s="2"/>
      <c r="F149" s="7">
        <f t="shared" si="25"/>
        <v>2.3398862094206507E-2</v>
      </c>
      <c r="G149" s="2"/>
      <c r="H149" s="6">
        <v>7759.6923076923094</v>
      </c>
      <c r="I149" s="2"/>
      <c r="J149" s="7">
        <f t="shared" si="26"/>
        <v>1.5561556433318911E-2</v>
      </c>
      <c r="K149" s="2"/>
      <c r="L149" s="6">
        <f t="shared" si="27"/>
        <v>-3764.2423076923096</v>
      </c>
      <c r="M149" s="2"/>
      <c r="N149" s="7">
        <f t="shared" si="28"/>
        <v>-0.4851020064237283</v>
      </c>
      <c r="O149" s="11"/>
      <c r="P149" s="6">
        <v>21137.95</v>
      </c>
      <c r="Q149" s="2"/>
      <c r="R149" s="7">
        <f t="shared" si="29"/>
        <v>5.773998709416181E-3</v>
      </c>
      <c r="S149" s="2"/>
      <c r="T149" s="6">
        <v>42678.30769230771</v>
      </c>
      <c r="U149" s="2"/>
      <c r="V149" s="7">
        <f t="shared" si="30"/>
        <v>7.5011099538487176E-3</v>
      </c>
      <c r="W149" s="2"/>
      <c r="X149" s="6">
        <f t="shared" si="31"/>
        <v>-21540.357692307709</v>
      </c>
      <c r="Y149" s="2"/>
      <c r="Z149" s="7">
        <f t="shared" si="32"/>
        <v>-0.50471442887577567</v>
      </c>
    </row>
    <row r="150" spans="1:26" s="24" customFormat="1" hidden="1" outlineLevel="2" x14ac:dyDescent="0.25">
      <c r="A150" s="28"/>
      <c r="B150" s="11" t="str">
        <f>CONCATENATE("          ", "6002", " - ", "STAFF SALARIES")</f>
        <v xml:space="preserve">          6002 - STAFF SALARIES</v>
      </c>
      <c r="C150" s="11"/>
      <c r="D150" s="6">
        <v>49923.729999999996</v>
      </c>
      <c r="E150" s="2"/>
      <c r="F150" s="7">
        <f t="shared" si="25"/>
        <v>0.29237219174270734</v>
      </c>
      <c r="G150" s="2"/>
      <c r="H150" s="6">
        <v>43375.460394461545</v>
      </c>
      <c r="I150" s="2"/>
      <c r="J150" s="7">
        <f t="shared" si="26"/>
        <v>8.698665462295127E-2</v>
      </c>
      <c r="K150" s="2"/>
      <c r="L150" s="6">
        <f t="shared" si="27"/>
        <v>6548.2696055384513</v>
      </c>
      <c r="M150" s="2"/>
      <c r="N150" s="7">
        <f t="shared" si="28"/>
        <v>0.15096714930487692</v>
      </c>
      <c r="O150" s="11"/>
      <c r="P150" s="6">
        <v>286255.33</v>
      </c>
      <c r="Q150" s="2"/>
      <c r="R150" s="7">
        <f t="shared" si="29"/>
        <v>7.8192913976213543E-2</v>
      </c>
      <c r="S150" s="2"/>
      <c r="T150" s="6">
        <v>238565.03216953864</v>
      </c>
      <c r="U150" s="2"/>
      <c r="V150" s="7">
        <f t="shared" si="30"/>
        <v>4.1930025678354244E-2</v>
      </c>
      <c r="W150" s="2"/>
      <c r="X150" s="6">
        <f t="shared" si="31"/>
        <v>47690.297830461379</v>
      </c>
      <c r="Y150" s="2"/>
      <c r="Z150" s="7">
        <f t="shared" si="32"/>
        <v>0.19990481168493204</v>
      </c>
    </row>
    <row r="151" spans="1:26" s="24" customFormat="1" hidden="1" outlineLevel="2" x14ac:dyDescent="0.25">
      <c r="A151" s="28"/>
      <c r="B151" s="11" t="str">
        <f>CONCATENATE("          ", "6003", " - ", "STAFF HOURLY-9 MONTH")</f>
        <v xml:space="preserve">          6003 - STAFF HOURLY-9 MONTH</v>
      </c>
      <c r="C151" s="11"/>
      <c r="D151" s="6"/>
      <c r="E151" s="2"/>
      <c r="F151" s="7">
        <f t="shared" si="25"/>
        <v>0</v>
      </c>
      <c r="G151" s="2"/>
      <c r="H151" s="6">
        <v>0</v>
      </c>
      <c r="I151" s="2"/>
      <c r="J151" s="7">
        <f t="shared" si="26"/>
        <v>0</v>
      </c>
      <c r="K151" s="2"/>
      <c r="L151" s="6">
        <f t="shared" si="27"/>
        <v>0</v>
      </c>
      <c r="M151" s="2"/>
      <c r="N151" s="7">
        <f t="shared" si="28"/>
        <v>0</v>
      </c>
      <c r="O151" s="11"/>
      <c r="P151" s="6"/>
      <c r="Q151" s="2"/>
      <c r="R151" s="7">
        <f t="shared" si="29"/>
        <v>0</v>
      </c>
      <c r="S151" s="2"/>
      <c r="T151" s="6">
        <v>0</v>
      </c>
      <c r="U151" s="2"/>
      <c r="V151" s="7">
        <f t="shared" si="30"/>
        <v>0</v>
      </c>
      <c r="W151" s="2"/>
      <c r="X151" s="6">
        <f t="shared" si="31"/>
        <v>0</v>
      </c>
      <c r="Y151" s="2"/>
      <c r="Z151" s="7">
        <f t="shared" si="32"/>
        <v>0</v>
      </c>
    </row>
    <row r="152" spans="1:26" s="24" customFormat="1" hidden="1" outlineLevel="2" x14ac:dyDescent="0.25">
      <c r="A152" s="28"/>
      <c r="B152" s="11" t="str">
        <f>CONCATENATE("          ", "6004", " - ", "STAFF HOURLY")</f>
        <v xml:space="preserve">          6004 - STAFF HOURLY</v>
      </c>
      <c r="C152" s="11"/>
      <c r="D152" s="6">
        <v>15334.86</v>
      </c>
      <c r="E152" s="2"/>
      <c r="F152" s="7">
        <f t="shared" si="25"/>
        <v>8.9806723741747141E-2</v>
      </c>
      <c r="G152" s="2"/>
      <c r="H152" s="6">
        <v>27784.070080000001</v>
      </c>
      <c r="I152" s="2"/>
      <c r="J152" s="7">
        <f t="shared" si="26"/>
        <v>5.5719139026762524E-2</v>
      </c>
      <c r="K152" s="2"/>
      <c r="L152" s="6">
        <f t="shared" si="27"/>
        <v>-12449.210080000001</v>
      </c>
      <c r="M152" s="2"/>
      <c r="N152" s="7">
        <f t="shared" si="28"/>
        <v>-0.44807006475848915</v>
      </c>
      <c r="O152" s="11"/>
      <c r="P152" s="6">
        <v>93332.3</v>
      </c>
      <c r="Q152" s="2"/>
      <c r="R152" s="7">
        <f t="shared" si="29"/>
        <v>2.5494458059880157E-2</v>
      </c>
      <c r="S152" s="2"/>
      <c r="T152" s="6">
        <v>152292.18544</v>
      </c>
      <c r="U152" s="2"/>
      <c r="V152" s="7">
        <f t="shared" si="30"/>
        <v>2.6766769580773619E-2</v>
      </c>
      <c r="W152" s="2"/>
      <c r="X152" s="6">
        <f t="shared" si="31"/>
        <v>-58959.885439999998</v>
      </c>
      <c r="Y152" s="2"/>
      <c r="Z152" s="7">
        <f t="shared" si="32"/>
        <v>-0.38714977573966841</v>
      </c>
    </row>
    <row r="153" spans="1:26" s="24" customFormat="1" hidden="1" outlineLevel="2" x14ac:dyDescent="0.25">
      <c r="A153" s="28"/>
      <c r="B153" s="11" t="str">
        <f>CONCATENATE("          ", "6005", " - ", "TEMPORARY WAGES-HOURLY")</f>
        <v xml:space="preserve">          6005 - TEMPORARY WAGES-HOURLY</v>
      </c>
      <c r="C153" s="11"/>
      <c r="D153" s="6">
        <v>7697.23</v>
      </c>
      <c r="E153" s="2"/>
      <c r="F153" s="7">
        <f t="shared" si="25"/>
        <v>4.5077881910019935E-2</v>
      </c>
      <c r="G153" s="2"/>
      <c r="H153" s="6">
        <v>2850</v>
      </c>
      <c r="I153" s="2"/>
      <c r="J153" s="7">
        <f t="shared" si="26"/>
        <v>5.7154889751225811E-3</v>
      </c>
      <c r="K153" s="2"/>
      <c r="L153" s="6">
        <f t="shared" si="27"/>
        <v>4847.2299999999996</v>
      </c>
      <c r="M153" s="2"/>
      <c r="N153" s="7">
        <f t="shared" si="28"/>
        <v>1.7007824561403506</v>
      </c>
      <c r="O153" s="11"/>
      <c r="P153" s="6">
        <v>88066.13</v>
      </c>
      <c r="Q153" s="2"/>
      <c r="R153" s="7">
        <f t="shared" si="29"/>
        <v>2.4055961952946129E-2</v>
      </c>
      <c r="S153" s="2"/>
      <c r="T153" s="6">
        <v>17100</v>
      </c>
      <c r="U153" s="2"/>
      <c r="V153" s="7">
        <f t="shared" si="30"/>
        <v>3.0054842177805502E-3</v>
      </c>
      <c r="W153" s="2"/>
      <c r="X153" s="6">
        <f t="shared" si="31"/>
        <v>70966.13</v>
      </c>
      <c r="Y153" s="2"/>
      <c r="Z153" s="7">
        <f t="shared" si="32"/>
        <v>4.1500660818713451</v>
      </c>
    </row>
    <row r="154" spans="1:26" s="24" customFormat="1" hidden="1" outlineLevel="2" x14ac:dyDescent="0.25">
      <c r="A154" s="28"/>
      <c r="B154" s="11" t="str">
        <f>CONCATENATE("          ", "6006", " - ", "TEMPORARY PART TIME")</f>
        <v xml:space="preserve">          6006 - TEMPORARY PART TIME</v>
      </c>
      <c r="C154" s="11"/>
      <c r="D154" s="6">
        <v>1048.44</v>
      </c>
      <c r="E154" s="2"/>
      <c r="F154" s="7">
        <f t="shared" si="25"/>
        <v>6.1400600618328029E-3</v>
      </c>
      <c r="G154" s="2"/>
      <c r="H154" s="6">
        <v>0</v>
      </c>
      <c r="I154" s="2"/>
      <c r="J154" s="7">
        <f t="shared" si="26"/>
        <v>0</v>
      </c>
      <c r="K154" s="2"/>
      <c r="L154" s="6">
        <f t="shared" si="27"/>
        <v>1048.44</v>
      </c>
      <c r="M154" s="2"/>
      <c r="N154" s="7">
        <f t="shared" si="28"/>
        <v>0</v>
      </c>
      <c r="O154" s="11"/>
      <c r="P154" s="6">
        <v>8555.61</v>
      </c>
      <c r="Q154" s="2"/>
      <c r="R154" s="7">
        <f t="shared" si="29"/>
        <v>2.3370327348805429E-3</v>
      </c>
      <c r="S154" s="2"/>
      <c r="T154" s="6">
        <v>0</v>
      </c>
      <c r="U154" s="2"/>
      <c r="V154" s="7">
        <f t="shared" si="30"/>
        <v>0</v>
      </c>
      <c r="W154" s="2"/>
      <c r="X154" s="6">
        <f t="shared" si="31"/>
        <v>8555.61</v>
      </c>
      <c r="Y154" s="2"/>
      <c r="Z154" s="7">
        <f t="shared" si="32"/>
        <v>0</v>
      </c>
    </row>
    <row r="155" spans="1:26" s="24" customFormat="1" hidden="1" outlineLevel="2" x14ac:dyDescent="0.25">
      <c r="A155" s="28"/>
      <c r="B155" s="11" t="str">
        <f>CONCATENATE("          ", "6007", " - ", "STUDENT HOURLY")</f>
        <v xml:space="preserve">          6007 - STUDENT HOURLY</v>
      </c>
      <c r="C155" s="11"/>
      <c r="D155" s="6">
        <v>20639.36</v>
      </c>
      <c r="E155" s="2"/>
      <c r="F155" s="7">
        <f t="shared" si="25"/>
        <v>0.12087187634751581</v>
      </c>
      <c r="G155" s="2"/>
      <c r="H155" s="6">
        <v>0</v>
      </c>
      <c r="I155" s="2"/>
      <c r="J155" s="7">
        <f t="shared" si="26"/>
        <v>0</v>
      </c>
      <c r="K155" s="2"/>
      <c r="L155" s="6">
        <f t="shared" si="27"/>
        <v>20639.36</v>
      </c>
      <c r="M155" s="2"/>
      <c r="N155" s="7">
        <f t="shared" si="28"/>
        <v>0</v>
      </c>
      <c r="O155" s="11"/>
      <c r="P155" s="6">
        <v>148695.03</v>
      </c>
      <c r="Q155" s="2"/>
      <c r="R155" s="7">
        <f t="shared" si="29"/>
        <v>4.0617226898379467E-2</v>
      </c>
      <c r="S155" s="2"/>
      <c r="T155" s="6">
        <v>142161.47999999998</v>
      </c>
      <c r="U155" s="2"/>
      <c r="V155" s="7">
        <f t="shared" si="30"/>
        <v>2.4986203772884519E-2</v>
      </c>
      <c r="W155" s="2"/>
      <c r="X155" s="6">
        <f t="shared" si="31"/>
        <v>6533.5500000000175</v>
      </c>
      <c r="Y155" s="2"/>
      <c r="Z155" s="7">
        <f t="shared" si="32"/>
        <v>4.5958652090566432E-2</v>
      </c>
    </row>
    <row r="156" spans="1:26" s="24" customFormat="1" hidden="1" outlineLevel="2" x14ac:dyDescent="0.25">
      <c r="A156" s="28"/>
      <c r="B156" s="11" t="str">
        <f>CONCATENATE("          ", "6008", " - ", "STUDENT HOURLY-FICA EXEMPT")</f>
        <v xml:space="preserve">          6008 - STUDENT HOURLY-FICA EXEMPT</v>
      </c>
      <c r="C156" s="11"/>
      <c r="D156" s="6">
        <v>882.57</v>
      </c>
      <c r="E156" s="2"/>
      <c r="F156" s="7">
        <f t="shared" si="25"/>
        <v>5.1686627835372334E-3</v>
      </c>
      <c r="G156" s="2"/>
      <c r="H156" s="6">
        <v>55188.83</v>
      </c>
      <c r="I156" s="2"/>
      <c r="J156" s="7">
        <f t="shared" si="26"/>
        <v>0.11067759628593488</v>
      </c>
      <c r="K156" s="2"/>
      <c r="L156" s="6">
        <f t="shared" si="27"/>
        <v>-54306.26</v>
      </c>
      <c r="M156" s="2"/>
      <c r="N156" s="7">
        <f t="shared" si="28"/>
        <v>-0.98400817701697973</v>
      </c>
      <c r="O156" s="11"/>
      <c r="P156" s="6">
        <v>3847.29</v>
      </c>
      <c r="Q156" s="2"/>
      <c r="R156" s="7">
        <f t="shared" si="29"/>
        <v>1.0509177803311E-3</v>
      </c>
      <c r="S156" s="2"/>
      <c r="T156" s="6">
        <v>259372.19</v>
      </c>
      <c r="U156" s="2"/>
      <c r="V156" s="7">
        <f t="shared" si="30"/>
        <v>4.5587077402115685E-2</v>
      </c>
      <c r="W156" s="2"/>
      <c r="X156" s="6">
        <f t="shared" si="31"/>
        <v>-255524.9</v>
      </c>
      <c r="Y156" s="2"/>
      <c r="Z156" s="7">
        <f t="shared" si="32"/>
        <v>-0.98516691400107315</v>
      </c>
    </row>
    <row r="157" spans="1:26" s="24" customFormat="1" hidden="1" outlineLevel="2" x14ac:dyDescent="0.25">
      <c r="A157" s="28"/>
      <c r="B157" s="11" t="str">
        <f>CONCATENATE("          ", "6009", " - ", "TEMPORARY-SEASONAL")</f>
        <v xml:space="preserve">          6009 - TEMPORARY-SEASONAL</v>
      </c>
      <c r="C157" s="11"/>
      <c r="D157" s="6"/>
      <c r="E157" s="2"/>
      <c r="F157" s="7">
        <f t="shared" si="25"/>
        <v>0</v>
      </c>
      <c r="G157" s="2"/>
      <c r="H157" s="6">
        <v>0</v>
      </c>
      <c r="I157" s="2"/>
      <c r="J157" s="7">
        <f t="shared" si="26"/>
        <v>0</v>
      </c>
      <c r="K157" s="2"/>
      <c r="L157" s="6">
        <f t="shared" si="27"/>
        <v>0</v>
      </c>
      <c r="M157" s="2"/>
      <c r="N157" s="7">
        <f t="shared" si="28"/>
        <v>0</v>
      </c>
      <c r="O157" s="11"/>
      <c r="P157" s="6"/>
      <c r="Q157" s="2"/>
      <c r="R157" s="7">
        <f t="shared" si="29"/>
        <v>0</v>
      </c>
      <c r="S157" s="2"/>
      <c r="T157" s="6">
        <v>0</v>
      </c>
      <c r="U157" s="2"/>
      <c r="V157" s="7">
        <f t="shared" si="30"/>
        <v>0</v>
      </c>
      <c r="W157" s="2"/>
      <c r="X157" s="6">
        <f t="shared" si="31"/>
        <v>0</v>
      </c>
      <c r="Y157" s="2"/>
      <c r="Z157" s="7">
        <f t="shared" si="32"/>
        <v>0</v>
      </c>
    </row>
    <row r="158" spans="1:26" s="24" customFormat="1" hidden="1" outlineLevel="2" x14ac:dyDescent="0.25">
      <c r="A158" s="28"/>
      <c r="B158" s="11" t="str">
        <f>CONCATENATE("          ", "6010", " - ", "GRATUITY")</f>
        <v xml:space="preserve">          6010 - GRATUITY</v>
      </c>
      <c r="C158" s="11"/>
      <c r="D158" s="6"/>
      <c r="E158" s="2"/>
      <c r="F158" s="7">
        <f t="shared" si="25"/>
        <v>0</v>
      </c>
      <c r="G158" s="2"/>
      <c r="H158" s="6">
        <v>0</v>
      </c>
      <c r="I158" s="2"/>
      <c r="J158" s="7">
        <f t="shared" si="26"/>
        <v>0</v>
      </c>
      <c r="K158" s="2"/>
      <c r="L158" s="6">
        <f t="shared" si="27"/>
        <v>0</v>
      </c>
      <c r="M158" s="2"/>
      <c r="N158" s="7">
        <f t="shared" si="28"/>
        <v>0</v>
      </c>
      <c r="O158" s="11"/>
      <c r="P158" s="6"/>
      <c r="Q158" s="2"/>
      <c r="R158" s="7">
        <f t="shared" si="29"/>
        <v>0</v>
      </c>
      <c r="S158" s="2"/>
      <c r="T158" s="6">
        <v>0</v>
      </c>
      <c r="U158" s="2"/>
      <c r="V158" s="7">
        <f t="shared" si="30"/>
        <v>0</v>
      </c>
      <c r="W158" s="2"/>
      <c r="X158" s="6">
        <f t="shared" si="31"/>
        <v>0</v>
      </c>
      <c r="Y158" s="2"/>
      <c r="Z158" s="7">
        <f t="shared" si="32"/>
        <v>0</v>
      </c>
    </row>
    <row r="159" spans="1:26" s="29" customFormat="1" outlineLevel="1" collapsed="1" x14ac:dyDescent="0.25">
      <c r="A159" s="27"/>
      <c r="B159" s="14" t="str">
        <f>CONCATENATE("     ","Advertising/Promo                                 ")</f>
        <v xml:space="preserve">     Advertising/Promo                                 </v>
      </c>
      <c r="C159" s="14"/>
      <c r="D159" s="1">
        <f>SUM(OSRRefD22_2x_0)</f>
        <v>648.78</v>
      </c>
      <c r="E159" s="1"/>
      <c r="F159" s="5">
        <f t="shared" ref="F159:F163" si="33">IF(D$12=0,0,D159/D$12)</f>
        <v>3.799500369039607E-3</v>
      </c>
      <c r="G159" s="1"/>
      <c r="H159" s="1">
        <f>SUM(OSRRefH22_2x_0)</f>
        <v>1080</v>
      </c>
      <c r="I159" s="1"/>
      <c r="J159" s="5">
        <f t="shared" ref="J159:J163" si="34">IF(H$12=0,0,H159/H$12)</f>
        <v>2.1658695063622416E-3</v>
      </c>
      <c r="K159" s="1"/>
      <c r="L159" s="1">
        <f t="shared" ref="L159:L163" si="35">+D159-H159</f>
        <v>-431.22</v>
      </c>
      <c r="M159" s="1"/>
      <c r="N159" s="5">
        <f t="shared" ref="N159:N163" si="36">IF(H159=0,0,L159/H159)</f>
        <v>-0.39927777777777779</v>
      </c>
      <c r="O159" s="14"/>
      <c r="P159" s="1">
        <f>SUM(OSRRefP22_2x_0)</f>
        <v>14607.41</v>
      </c>
      <c r="Q159" s="1"/>
      <c r="R159" s="5">
        <f t="shared" ref="R159:R163" si="37">IF(P$12=0,0,P159/P$12)</f>
        <v>3.9901299079576312E-3</v>
      </c>
      <c r="S159" s="1"/>
      <c r="T159" s="1">
        <f>SUM(OSRRefT22_2x_0)</f>
        <v>6650</v>
      </c>
      <c r="U159" s="1"/>
      <c r="V159" s="5">
        <f t="shared" ref="V159:V163" si="38">IF(T$12=0,0,T159/T$12)</f>
        <v>1.1687994180257695E-3</v>
      </c>
      <c r="W159" s="1"/>
      <c r="X159" s="1">
        <f t="shared" ref="X159:X163" si="39">+P159-T159</f>
        <v>7957.41</v>
      </c>
      <c r="Y159" s="1"/>
      <c r="Z159" s="5">
        <f t="shared" ref="Z159:Z163" si="40">IF(T159=0,0,X159/T159)</f>
        <v>1.196603007518797</v>
      </c>
    </row>
    <row r="160" spans="1:26" s="24" customFormat="1" hidden="1" outlineLevel="2" x14ac:dyDescent="0.25">
      <c r="A160" s="28"/>
      <c r="B160" s="11" t="str">
        <f>CONCATENATE("          ", "6362", " - ", "ADVERTISING EXPENSE")</f>
        <v xml:space="preserve">          6362 - ADVERTISING EXPENSE</v>
      </c>
      <c r="C160" s="11"/>
      <c r="D160" s="6">
        <v>648.78</v>
      </c>
      <c r="E160" s="2"/>
      <c r="F160" s="7">
        <f t="shared" si="33"/>
        <v>3.799500369039607E-3</v>
      </c>
      <c r="G160" s="2"/>
      <c r="H160" s="6">
        <v>1080</v>
      </c>
      <c r="I160" s="2"/>
      <c r="J160" s="7">
        <f t="shared" si="34"/>
        <v>2.1658695063622416E-3</v>
      </c>
      <c r="K160" s="2"/>
      <c r="L160" s="6">
        <f t="shared" si="35"/>
        <v>-431.22</v>
      </c>
      <c r="M160" s="2"/>
      <c r="N160" s="7">
        <f t="shared" si="36"/>
        <v>-0.39927777777777779</v>
      </c>
      <c r="O160" s="11"/>
      <c r="P160" s="6">
        <v>14607.41</v>
      </c>
      <c r="Q160" s="2"/>
      <c r="R160" s="7">
        <f t="shared" si="37"/>
        <v>3.9901299079576312E-3</v>
      </c>
      <c r="S160" s="2"/>
      <c r="T160" s="6">
        <v>6650</v>
      </c>
      <c r="U160" s="2"/>
      <c r="V160" s="7">
        <f t="shared" si="38"/>
        <v>1.1687994180257695E-3</v>
      </c>
      <c r="W160" s="2"/>
      <c r="X160" s="6">
        <f t="shared" si="39"/>
        <v>7957.41</v>
      </c>
      <c r="Y160" s="2"/>
      <c r="Z160" s="7">
        <f t="shared" si="40"/>
        <v>1.196603007518797</v>
      </c>
    </row>
    <row r="161" spans="1:26" s="29" customFormat="1" outlineLevel="1" collapsed="1" x14ac:dyDescent="0.25">
      <c r="A161" s="27"/>
      <c r="B161" s="14" t="str">
        <f>CONCATENATE("     ","Bad Debts/Over/Short                              ")</f>
        <v xml:space="preserve">     Bad Debts/Over/Short                              </v>
      </c>
      <c r="C161" s="14"/>
      <c r="D161" s="1">
        <f>SUM(OSRRefD22_3x_0)</f>
        <v>0.74</v>
      </c>
      <c r="E161" s="1"/>
      <c r="F161" s="5">
        <f t="shared" si="33"/>
        <v>4.3337190928963734E-6</v>
      </c>
      <c r="G161" s="1"/>
      <c r="H161" s="1">
        <f>SUM(OSRRefH22_3x_0)</f>
        <v>110</v>
      </c>
      <c r="I161" s="1"/>
      <c r="J161" s="5">
        <f t="shared" si="34"/>
        <v>2.2059782009245052E-4</v>
      </c>
      <c r="K161" s="1"/>
      <c r="L161" s="1">
        <f t="shared" si="35"/>
        <v>-109.26</v>
      </c>
      <c r="M161" s="1"/>
      <c r="N161" s="5">
        <f t="shared" si="36"/>
        <v>-0.99327272727272731</v>
      </c>
      <c r="O161" s="14"/>
      <c r="P161" s="1">
        <f>SUM(OSRRefP22_3x_0)</f>
        <v>51.3</v>
      </c>
      <c r="Q161" s="1"/>
      <c r="R161" s="5">
        <f t="shared" si="37"/>
        <v>1.4013001913291026E-5</v>
      </c>
      <c r="S161" s="1"/>
      <c r="T161" s="1">
        <f>SUM(OSRRefT22_3x_0)</f>
        <v>550</v>
      </c>
      <c r="U161" s="1"/>
      <c r="V161" s="5">
        <f t="shared" si="38"/>
        <v>9.666762103972529E-5</v>
      </c>
      <c r="W161" s="1"/>
      <c r="X161" s="1">
        <f t="shared" si="39"/>
        <v>-498.7</v>
      </c>
      <c r="Y161" s="1"/>
      <c r="Z161" s="5">
        <f t="shared" si="40"/>
        <v>-0.90672727272727272</v>
      </c>
    </row>
    <row r="162" spans="1:26" s="24" customFormat="1" hidden="1" outlineLevel="2" x14ac:dyDescent="0.25">
      <c r="A162" s="28"/>
      <c r="B162" s="11" t="str">
        <f>CONCATENATE("          ", "6272", " - ", "CASH (OVER/SHORT)")</f>
        <v xml:space="preserve">          6272 - CASH (OVER/SHORT)</v>
      </c>
      <c r="C162" s="11"/>
      <c r="D162" s="6">
        <v>0.74</v>
      </c>
      <c r="E162" s="2"/>
      <c r="F162" s="7">
        <f t="shared" si="33"/>
        <v>4.3337190928963734E-6</v>
      </c>
      <c r="G162" s="2"/>
      <c r="H162" s="6">
        <v>60</v>
      </c>
      <c r="I162" s="2"/>
      <c r="J162" s="7">
        <f t="shared" si="34"/>
        <v>1.2032608368679119E-4</v>
      </c>
      <c r="K162" s="2"/>
      <c r="L162" s="6">
        <f t="shared" si="35"/>
        <v>-59.26</v>
      </c>
      <c r="M162" s="2"/>
      <c r="N162" s="7">
        <f t="shared" si="36"/>
        <v>-0.98766666666666658</v>
      </c>
      <c r="O162" s="11"/>
      <c r="P162" s="6">
        <v>51.3</v>
      </c>
      <c r="Q162" s="2"/>
      <c r="R162" s="7">
        <f t="shared" si="37"/>
        <v>1.4013001913291026E-5</v>
      </c>
      <c r="S162" s="2"/>
      <c r="T162" s="6">
        <v>300</v>
      </c>
      <c r="U162" s="2"/>
      <c r="V162" s="7">
        <f t="shared" si="38"/>
        <v>5.2727793294395613E-5</v>
      </c>
      <c r="W162" s="2"/>
      <c r="X162" s="6">
        <f t="shared" si="39"/>
        <v>-248.7</v>
      </c>
      <c r="Y162" s="2"/>
      <c r="Z162" s="7">
        <f t="shared" si="40"/>
        <v>-0.82899999999999996</v>
      </c>
    </row>
    <row r="163" spans="1:26" s="24" customFormat="1" hidden="1" outlineLevel="2" x14ac:dyDescent="0.25">
      <c r="A163" s="28"/>
      <c r="B163" s="11" t="str">
        <f>CONCATENATE("          ", "6342", " - ", "BAD DEBT")</f>
        <v xml:space="preserve">          6342 - BAD DEBT</v>
      </c>
      <c r="C163" s="11"/>
      <c r="D163" s="6"/>
      <c r="E163" s="2"/>
      <c r="F163" s="7">
        <f t="shared" si="33"/>
        <v>0</v>
      </c>
      <c r="G163" s="2"/>
      <c r="H163" s="6">
        <v>50</v>
      </c>
      <c r="I163" s="2"/>
      <c r="J163" s="7">
        <f t="shared" si="34"/>
        <v>1.0027173640565933E-4</v>
      </c>
      <c r="K163" s="2"/>
      <c r="L163" s="6">
        <f t="shared" si="35"/>
        <v>-50</v>
      </c>
      <c r="M163" s="2"/>
      <c r="N163" s="7">
        <f t="shared" si="36"/>
        <v>-1</v>
      </c>
      <c r="O163" s="11"/>
      <c r="P163" s="6"/>
      <c r="Q163" s="2"/>
      <c r="R163" s="7">
        <f t="shared" si="37"/>
        <v>0</v>
      </c>
      <c r="S163" s="2"/>
      <c r="T163" s="6">
        <v>250</v>
      </c>
      <c r="U163" s="2"/>
      <c r="V163" s="7">
        <f t="shared" si="38"/>
        <v>4.3939827745329677E-5</v>
      </c>
      <c r="W163" s="2"/>
      <c r="X163" s="6">
        <f t="shared" si="39"/>
        <v>-250</v>
      </c>
      <c r="Y163" s="2"/>
      <c r="Z163" s="7">
        <f t="shared" si="40"/>
        <v>-1</v>
      </c>
    </row>
    <row r="164" spans="1:26" s="29" customFormat="1" outlineLevel="1" collapsed="1" x14ac:dyDescent="0.25">
      <c r="A164" s="27"/>
      <c r="B164" s="14" t="str">
        <f>CONCATENATE("     ","Bank/card Fees                                    ")</f>
        <v xml:space="preserve">     Bank/card Fees                                    </v>
      </c>
      <c r="C164" s="14"/>
      <c r="D164" s="1">
        <f>SUM(OSRRefD22_4x_0)</f>
        <v>2442.63</v>
      </c>
      <c r="E164" s="1"/>
      <c r="F164" s="5">
        <f t="shared" ref="F164:F168" si="41">IF(D$12=0,0,D164/D$12)</f>
        <v>1.4304962524164147E-2</v>
      </c>
      <c r="G164" s="1"/>
      <c r="H164" s="1">
        <f>SUM(OSRRefH22_4x_0)</f>
        <v>9234</v>
      </c>
      <c r="I164" s="1"/>
      <c r="J164" s="5">
        <f t="shared" ref="J164:J168" si="42">IF(H$12=0,0,H164/H$12)</f>
        <v>1.8518184279397165E-2</v>
      </c>
      <c r="K164" s="1"/>
      <c r="L164" s="1">
        <f t="shared" ref="L164:L168" si="43">+D164-H164</f>
        <v>-6791.37</v>
      </c>
      <c r="M164" s="1"/>
      <c r="N164" s="5">
        <f t="shared" ref="N164:N168" si="44">IF(H164=0,0,L164/H164)</f>
        <v>-0.73547433398310591</v>
      </c>
      <c r="O164" s="14"/>
      <c r="P164" s="1">
        <f>SUM(OSRRefP22_4x_0)</f>
        <v>41582.380000000005</v>
      </c>
      <c r="Q164" s="1"/>
      <c r="R164" s="5">
        <f t="shared" ref="R164:R168" si="45">IF(P$12=0,0,P164/P$12)</f>
        <v>1.1358556929808861E-2</v>
      </c>
      <c r="S164" s="1"/>
      <c r="T164" s="1">
        <f>SUM(OSRRefT22_4x_0)</f>
        <v>89643</v>
      </c>
      <c r="U164" s="1"/>
      <c r="V164" s="5">
        <f t="shared" ref="V164:V168" si="46">IF(T$12=0,0,T164/T$12)</f>
        <v>1.5755591914298355E-2</v>
      </c>
      <c r="W164" s="1"/>
      <c r="X164" s="1">
        <f t="shared" ref="X164:X168" si="47">+P164-T164</f>
        <v>-48060.619999999995</v>
      </c>
      <c r="Y164" s="1"/>
      <c r="Z164" s="5">
        <f t="shared" ref="Z164:Z168" si="48">IF(T164=0,0,X164/T164)</f>
        <v>-0.53613355197840318</v>
      </c>
    </row>
    <row r="165" spans="1:26" s="24" customFormat="1" hidden="1" outlineLevel="2" x14ac:dyDescent="0.25">
      <c r="A165" s="28"/>
      <c r="B165" s="11" t="str">
        <f>CONCATENATE("          ", "6381", " - ", "BANK/CREDIT CARD FEES")</f>
        <v xml:space="preserve">          6381 - BANK/CREDIT CARD FEES</v>
      </c>
      <c r="C165" s="11"/>
      <c r="D165" s="6">
        <v>2442.63</v>
      </c>
      <c r="E165" s="2"/>
      <c r="F165" s="7">
        <f t="shared" si="41"/>
        <v>1.4304962524164147E-2</v>
      </c>
      <c r="G165" s="2"/>
      <c r="H165" s="6">
        <v>9234</v>
      </c>
      <c r="I165" s="2"/>
      <c r="J165" s="7">
        <f t="shared" si="42"/>
        <v>1.8518184279397165E-2</v>
      </c>
      <c r="K165" s="2"/>
      <c r="L165" s="6">
        <f t="shared" si="43"/>
        <v>-6791.37</v>
      </c>
      <c r="M165" s="2"/>
      <c r="N165" s="7">
        <f t="shared" si="44"/>
        <v>-0.73547433398310591</v>
      </c>
      <c r="O165" s="11"/>
      <c r="P165" s="6">
        <v>41582.380000000005</v>
      </c>
      <c r="Q165" s="2"/>
      <c r="R165" s="7">
        <f t="shared" si="45"/>
        <v>1.1358556929808861E-2</v>
      </c>
      <c r="S165" s="2"/>
      <c r="T165" s="6">
        <v>89643</v>
      </c>
      <c r="U165" s="2"/>
      <c r="V165" s="7">
        <f t="shared" si="46"/>
        <v>1.5755591914298355E-2</v>
      </c>
      <c r="W165" s="2"/>
      <c r="X165" s="6">
        <f t="shared" si="47"/>
        <v>-48060.619999999995</v>
      </c>
      <c r="Y165" s="2"/>
      <c r="Z165" s="7">
        <f t="shared" si="48"/>
        <v>-0.53613355197840318</v>
      </c>
    </row>
    <row r="166" spans="1:26" s="29" customFormat="1" outlineLevel="1" collapsed="1" x14ac:dyDescent="0.25">
      <c r="A166" s="27"/>
      <c r="B166" s="14" t="str">
        <f>CONCATENATE("     ","Depreciation                                      ")</f>
        <v xml:space="preserve">     Depreciation                                      </v>
      </c>
      <c r="C166" s="14"/>
      <c r="D166" s="1">
        <f>SUM(OSRRefD22_5x_0)</f>
        <v>31016.29</v>
      </c>
      <c r="E166" s="1"/>
      <c r="F166" s="5">
        <f t="shared" si="41"/>
        <v>0.18164309211325791</v>
      </c>
      <c r="G166" s="1"/>
      <c r="H166" s="1">
        <f>SUM(OSRRefH22_5x_0)</f>
        <v>30594</v>
      </c>
      <c r="I166" s="1"/>
      <c r="J166" s="5">
        <f t="shared" si="42"/>
        <v>6.1354270071894826E-2</v>
      </c>
      <c r="K166" s="1"/>
      <c r="L166" s="1">
        <f t="shared" si="43"/>
        <v>422.29000000000087</v>
      </c>
      <c r="M166" s="1"/>
      <c r="N166" s="5">
        <f t="shared" si="44"/>
        <v>1.3803033274498297E-2</v>
      </c>
      <c r="O166" s="14"/>
      <c r="P166" s="1">
        <f>SUM(OSRRefP22_5x_0)</f>
        <v>155376.94</v>
      </c>
      <c r="Q166" s="1"/>
      <c r="R166" s="5">
        <f t="shared" si="45"/>
        <v>4.2442443616009844E-2</v>
      </c>
      <c r="S166" s="1"/>
      <c r="T166" s="1">
        <f>SUM(OSRRefT22_5x_0)</f>
        <v>153978</v>
      </c>
      <c r="U166" s="1"/>
      <c r="V166" s="5">
        <f t="shared" si="46"/>
        <v>2.7063067186281493E-2</v>
      </c>
      <c r="W166" s="1"/>
      <c r="X166" s="1">
        <f t="shared" si="47"/>
        <v>1398.9400000000023</v>
      </c>
      <c r="Y166" s="1"/>
      <c r="Z166" s="5">
        <f t="shared" si="48"/>
        <v>9.0853238774370512E-3</v>
      </c>
    </row>
    <row r="167" spans="1:26" s="24" customFormat="1" hidden="1" outlineLevel="2" x14ac:dyDescent="0.25">
      <c r="A167" s="28"/>
      <c r="B167" s="11" t="str">
        <f>CONCATENATE("          ", "6321", " - ", "BUILDING DEPRECIATION")</f>
        <v xml:space="preserve">          6321 - BUILDING DEPRECIATION</v>
      </c>
      <c r="C167" s="11"/>
      <c r="D167" s="6">
        <v>16396.52</v>
      </c>
      <c r="E167" s="2"/>
      <c r="F167" s="7">
        <f t="shared" si="41"/>
        <v>9.6024205109536825E-2</v>
      </c>
      <c r="G167" s="2"/>
      <c r="H167" s="6"/>
      <c r="I167" s="2"/>
      <c r="J167" s="7">
        <f t="shared" si="42"/>
        <v>0</v>
      </c>
      <c r="K167" s="2"/>
      <c r="L167" s="6">
        <f t="shared" si="43"/>
        <v>16396.52</v>
      </c>
      <c r="M167" s="2"/>
      <c r="N167" s="7">
        <f t="shared" si="44"/>
        <v>0</v>
      </c>
      <c r="O167" s="11"/>
      <c r="P167" s="6">
        <v>81982.599999999991</v>
      </c>
      <c r="Q167" s="2"/>
      <c r="R167" s="7">
        <f t="shared" si="45"/>
        <v>2.239419747868563E-2</v>
      </c>
      <c r="S167" s="2"/>
      <c r="T167" s="6"/>
      <c r="U167" s="2"/>
      <c r="V167" s="7">
        <f t="shared" si="46"/>
        <v>0</v>
      </c>
      <c r="W167" s="2"/>
      <c r="X167" s="6">
        <f t="shared" si="47"/>
        <v>81982.599999999991</v>
      </c>
      <c r="Y167" s="2"/>
      <c r="Z167" s="7">
        <f t="shared" si="48"/>
        <v>0</v>
      </c>
    </row>
    <row r="168" spans="1:26" s="24" customFormat="1" hidden="1" outlineLevel="2" x14ac:dyDescent="0.25">
      <c r="A168" s="28"/>
      <c r="B168" s="11" t="str">
        <f>CONCATENATE("          ", "6322", " - ", "EQUIPMENT DEPRECIATION EXPENSE")</f>
        <v xml:space="preserve">          6322 - EQUIPMENT DEPRECIATION EXPENSE</v>
      </c>
      <c r="C168" s="11"/>
      <c r="D168" s="6">
        <v>14619.77</v>
      </c>
      <c r="E168" s="2"/>
      <c r="F168" s="7">
        <f t="shared" si="41"/>
        <v>8.5618887003721098E-2</v>
      </c>
      <c r="G168" s="2"/>
      <c r="H168" s="6">
        <v>30594</v>
      </c>
      <c r="I168" s="2"/>
      <c r="J168" s="7">
        <f t="shared" si="42"/>
        <v>6.1354270071894826E-2</v>
      </c>
      <c r="K168" s="2"/>
      <c r="L168" s="6">
        <f t="shared" si="43"/>
        <v>-15974.23</v>
      </c>
      <c r="M168" s="2"/>
      <c r="N168" s="7">
        <f t="shared" si="44"/>
        <v>-0.52213603974635547</v>
      </c>
      <c r="O168" s="11"/>
      <c r="P168" s="6">
        <v>73394.34</v>
      </c>
      <c r="Q168" s="2"/>
      <c r="R168" s="7">
        <f t="shared" si="45"/>
        <v>2.0048246137324213E-2</v>
      </c>
      <c r="S168" s="2"/>
      <c r="T168" s="6">
        <v>153978</v>
      </c>
      <c r="U168" s="2"/>
      <c r="V168" s="7">
        <f t="shared" si="46"/>
        <v>2.7063067186281493E-2</v>
      </c>
      <c r="W168" s="2"/>
      <c r="X168" s="6">
        <f t="shared" si="47"/>
        <v>-80583.66</v>
      </c>
      <c r="Y168" s="2"/>
      <c r="Z168" s="7">
        <f t="shared" si="48"/>
        <v>-0.52334528309238981</v>
      </c>
    </row>
    <row r="169" spans="1:26" s="29" customFormat="1" outlineLevel="1" collapsed="1" x14ac:dyDescent="0.25">
      <c r="A169" s="27"/>
      <c r="B169" s="14" t="str">
        <f>CONCATENATE("     ","Discounts and Markdowns                           ")</f>
        <v xml:space="preserve">     Discounts and Markdowns                           </v>
      </c>
      <c r="C169" s="14"/>
      <c r="D169" s="1">
        <f>SUM(OSRRefD22_6x_0)</f>
        <v>418.85</v>
      </c>
      <c r="E169" s="1"/>
      <c r="F169" s="5">
        <f t="shared" ref="F169:F171" si="49">IF(D$12=0,0,D169/D$12)</f>
        <v>2.4529435703508733E-3</v>
      </c>
      <c r="G169" s="1"/>
      <c r="H169" s="1">
        <f>SUM(OSRRefH22_6x_0)</f>
        <v>28845</v>
      </c>
      <c r="I169" s="1"/>
      <c r="J169" s="5">
        <f t="shared" ref="J169:J171" si="50">IF(H$12=0,0,H169/H$12)</f>
        <v>5.7846764732424866E-2</v>
      </c>
      <c r="K169" s="1"/>
      <c r="L169" s="1">
        <f t="shared" ref="L169:L171" si="51">+D169-H169</f>
        <v>-28426.15</v>
      </c>
      <c r="M169" s="1"/>
      <c r="N169" s="5">
        <f t="shared" ref="N169:N171" si="52">IF(H169=0,0,L169/H169)</f>
        <v>-0.98547928583810029</v>
      </c>
      <c r="O169" s="14"/>
      <c r="P169" s="1">
        <f>SUM(OSRRefP22_6x_0)</f>
        <v>0</v>
      </c>
      <c r="Q169" s="1"/>
      <c r="R169" s="5">
        <f t="shared" ref="R169:R171" si="53">IF(P$12=0,0,P169/P$12)</f>
        <v>0</v>
      </c>
      <c r="S169" s="1"/>
      <c r="T169" s="1">
        <f>SUM(OSRRefT22_6x_0)</f>
        <v>156582</v>
      </c>
      <c r="U169" s="1"/>
      <c r="V169" s="5">
        <f t="shared" ref="V169:V171" si="54">IF(T$12=0,0,T169/T$12)</f>
        <v>2.7520744432076846E-2</v>
      </c>
      <c r="W169" s="1"/>
      <c r="X169" s="1">
        <f t="shared" ref="X169:X171" si="55">+P169-T169</f>
        <v>-156582</v>
      </c>
      <c r="Y169" s="1"/>
      <c r="Z169" s="5">
        <f t="shared" ref="Z169:Z171" si="56">IF(T169=0,0,X169/T169)</f>
        <v>-1</v>
      </c>
    </row>
    <row r="170" spans="1:26" s="24" customFormat="1" hidden="1" outlineLevel="2" x14ac:dyDescent="0.25">
      <c r="A170" s="28"/>
      <c r="B170" s="11" t="str">
        <f>CONCATENATE("          ", "6382", " - ", "DISCOUNTS/MARK DOWNS")</f>
        <v xml:space="preserve">          6382 - DISCOUNTS/MARK DOWNS</v>
      </c>
      <c r="C170" s="11"/>
      <c r="D170" s="6"/>
      <c r="E170" s="2"/>
      <c r="F170" s="7">
        <f t="shared" si="49"/>
        <v>0</v>
      </c>
      <c r="G170" s="2"/>
      <c r="H170" s="6">
        <v>28845</v>
      </c>
      <c r="I170" s="2"/>
      <c r="J170" s="7">
        <f t="shared" si="50"/>
        <v>5.7846764732424866E-2</v>
      </c>
      <c r="K170" s="2"/>
      <c r="L170" s="6">
        <f t="shared" si="51"/>
        <v>-28845</v>
      </c>
      <c r="M170" s="2"/>
      <c r="N170" s="7">
        <f t="shared" si="52"/>
        <v>-1</v>
      </c>
      <c r="O170" s="11"/>
      <c r="P170" s="6">
        <v>0</v>
      </c>
      <c r="Q170" s="2"/>
      <c r="R170" s="7">
        <f t="shared" si="53"/>
        <v>0</v>
      </c>
      <c r="S170" s="2"/>
      <c r="T170" s="6">
        <v>156582</v>
      </c>
      <c r="U170" s="2"/>
      <c r="V170" s="7">
        <f t="shared" si="54"/>
        <v>2.7520744432076846E-2</v>
      </c>
      <c r="W170" s="2"/>
      <c r="X170" s="6">
        <f t="shared" si="55"/>
        <v>-156582</v>
      </c>
      <c r="Y170" s="2"/>
      <c r="Z170" s="7">
        <f t="shared" si="56"/>
        <v>-1</v>
      </c>
    </row>
    <row r="171" spans="1:26" s="24" customFormat="1" hidden="1" outlineLevel="2" x14ac:dyDescent="0.25">
      <c r="A171" s="28"/>
      <c r="B171" s="11" t="str">
        <f>CONCATENATE("          ", "9175", " - ", "EARNED DISCOUNTS")</f>
        <v xml:space="preserve">          9175 - EARNED DISCOUNTS</v>
      </c>
      <c r="C171" s="11"/>
      <c r="D171" s="6">
        <v>418.85</v>
      </c>
      <c r="E171" s="2"/>
      <c r="F171" s="7">
        <f t="shared" si="49"/>
        <v>2.4529435703508733E-3</v>
      </c>
      <c r="G171" s="2"/>
      <c r="H171" s="6"/>
      <c r="I171" s="2"/>
      <c r="J171" s="7">
        <f t="shared" si="50"/>
        <v>0</v>
      </c>
      <c r="K171" s="2"/>
      <c r="L171" s="6">
        <f t="shared" si="51"/>
        <v>418.85</v>
      </c>
      <c r="M171" s="2"/>
      <c r="N171" s="7">
        <f t="shared" si="52"/>
        <v>0</v>
      </c>
      <c r="O171" s="11"/>
      <c r="P171" s="6">
        <v>0</v>
      </c>
      <c r="Q171" s="2"/>
      <c r="R171" s="7">
        <f t="shared" si="53"/>
        <v>0</v>
      </c>
      <c r="S171" s="2"/>
      <c r="T171" s="6"/>
      <c r="U171" s="2"/>
      <c r="V171" s="7">
        <f t="shared" si="54"/>
        <v>0</v>
      </c>
      <c r="W171" s="2"/>
      <c r="X171" s="6">
        <f t="shared" si="55"/>
        <v>0</v>
      </c>
      <c r="Y171" s="2"/>
      <c r="Z171" s="7">
        <f t="shared" si="56"/>
        <v>0</v>
      </c>
    </row>
    <row r="172" spans="1:26" s="29" customFormat="1" outlineLevel="1" collapsed="1" x14ac:dyDescent="0.25">
      <c r="A172" s="27"/>
      <c r="B172" s="14" t="str">
        <f>CONCATENATE("     ","Donations                                         ")</f>
        <v xml:space="preserve">     Donations                                         </v>
      </c>
      <c r="C172" s="14"/>
      <c r="D172" s="1">
        <f>SUM(OSRRefD22_7x_0)</f>
        <v>0</v>
      </c>
      <c r="E172" s="1"/>
      <c r="F172" s="5">
        <f t="shared" ref="F172:F174" si="57">IF(D$12=0,0,D172/D$12)</f>
        <v>0</v>
      </c>
      <c r="G172" s="1"/>
      <c r="H172" s="1">
        <f>SUM(OSRRefH22_7x_0)</f>
        <v>1000</v>
      </c>
      <c r="I172" s="1"/>
      <c r="J172" s="5">
        <f t="shared" ref="J172:J174" si="58">IF(H$12=0,0,H172/H$12)</f>
        <v>2.0054347281131864E-3</v>
      </c>
      <c r="K172" s="1"/>
      <c r="L172" s="1">
        <f t="shared" ref="L172:L174" si="59">+D172-H172</f>
        <v>-1000</v>
      </c>
      <c r="M172" s="1"/>
      <c r="N172" s="5">
        <f t="shared" ref="N172:N174" si="60">IF(H172=0,0,L172/H172)</f>
        <v>-1</v>
      </c>
      <c r="O172" s="14"/>
      <c r="P172" s="1">
        <f>SUM(OSRRefP22_7x_0)</f>
        <v>0</v>
      </c>
      <c r="Q172" s="1"/>
      <c r="R172" s="5">
        <f t="shared" ref="R172:R174" si="61">IF(P$12=0,0,P172/P$12)</f>
        <v>0</v>
      </c>
      <c r="S172" s="1"/>
      <c r="T172" s="1">
        <f>SUM(OSRRefT22_7x_0)</f>
        <v>5000</v>
      </c>
      <c r="U172" s="1"/>
      <c r="V172" s="5">
        <f t="shared" ref="V172:V174" si="62">IF(T$12=0,0,T172/T$12)</f>
        <v>8.787965549065936E-4</v>
      </c>
      <c r="W172" s="1"/>
      <c r="X172" s="1">
        <f t="shared" ref="X172:X174" si="63">+P172-T172</f>
        <v>-5000</v>
      </c>
      <c r="Y172" s="1"/>
      <c r="Z172" s="5">
        <f t="shared" ref="Z172:Z174" si="64">IF(T172=0,0,X172/T172)</f>
        <v>-1</v>
      </c>
    </row>
    <row r="173" spans="1:26" s="24" customFormat="1" hidden="1" outlineLevel="2" x14ac:dyDescent="0.25">
      <c r="A173" s="28"/>
      <c r="B173" s="11" t="str">
        <f>CONCATENATE("          ", "6395", " - ", "DONATION-OFF CAMPUS")</f>
        <v xml:space="preserve">          6395 - DONATION-OFF CAMPUS</v>
      </c>
      <c r="C173" s="11"/>
      <c r="D173" s="6"/>
      <c r="E173" s="2"/>
      <c r="F173" s="7">
        <f t="shared" si="57"/>
        <v>0</v>
      </c>
      <c r="G173" s="2"/>
      <c r="H173" s="6"/>
      <c r="I173" s="2"/>
      <c r="J173" s="7">
        <f t="shared" si="58"/>
        <v>0</v>
      </c>
      <c r="K173" s="2"/>
      <c r="L173" s="6">
        <f t="shared" si="59"/>
        <v>0</v>
      </c>
      <c r="M173" s="2"/>
      <c r="N173" s="7">
        <f t="shared" si="60"/>
        <v>0</v>
      </c>
      <c r="O173" s="11"/>
      <c r="P173" s="6"/>
      <c r="Q173" s="2"/>
      <c r="R173" s="7">
        <f t="shared" si="61"/>
        <v>0</v>
      </c>
      <c r="S173" s="2"/>
      <c r="T173" s="6">
        <v>0</v>
      </c>
      <c r="U173" s="2"/>
      <c r="V173" s="7">
        <f t="shared" si="62"/>
        <v>0</v>
      </c>
      <c r="W173" s="2"/>
      <c r="X173" s="6">
        <f t="shared" si="63"/>
        <v>0</v>
      </c>
      <c r="Y173" s="2"/>
      <c r="Z173" s="7">
        <f t="shared" si="64"/>
        <v>0</v>
      </c>
    </row>
    <row r="174" spans="1:26" s="24" customFormat="1" hidden="1" outlineLevel="2" x14ac:dyDescent="0.25">
      <c r="A174" s="28"/>
      <c r="B174" s="11" t="str">
        <f>CONCATENATE("          ", "6399", " - ", "DONATION-ON CAMPUS")</f>
        <v xml:space="preserve">          6399 - DONATION-ON CAMPUS</v>
      </c>
      <c r="C174" s="11"/>
      <c r="D174" s="6"/>
      <c r="E174" s="2"/>
      <c r="F174" s="7">
        <f t="shared" si="57"/>
        <v>0</v>
      </c>
      <c r="G174" s="2"/>
      <c r="H174" s="6">
        <v>1000</v>
      </c>
      <c r="I174" s="2"/>
      <c r="J174" s="7">
        <f t="shared" si="58"/>
        <v>2.0054347281131864E-3</v>
      </c>
      <c r="K174" s="2"/>
      <c r="L174" s="6">
        <f t="shared" si="59"/>
        <v>-1000</v>
      </c>
      <c r="M174" s="2"/>
      <c r="N174" s="7">
        <f t="shared" si="60"/>
        <v>-1</v>
      </c>
      <c r="O174" s="11"/>
      <c r="P174" s="6"/>
      <c r="Q174" s="2"/>
      <c r="R174" s="7">
        <f t="shared" si="61"/>
        <v>0</v>
      </c>
      <c r="S174" s="2"/>
      <c r="T174" s="6">
        <v>5000</v>
      </c>
      <c r="U174" s="2"/>
      <c r="V174" s="7">
        <f t="shared" si="62"/>
        <v>8.787965549065936E-4</v>
      </c>
      <c r="W174" s="2"/>
      <c r="X174" s="6">
        <f t="shared" si="63"/>
        <v>-5000</v>
      </c>
      <c r="Y174" s="2"/>
      <c r="Z174" s="7">
        <f t="shared" si="64"/>
        <v>-1</v>
      </c>
    </row>
    <row r="175" spans="1:26" s="29" customFormat="1" outlineLevel="1" collapsed="1" x14ac:dyDescent="0.25">
      <c r="A175" s="27"/>
      <c r="B175" s="14" t="str">
        <f>CONCATENATE("     ","Employees' Appreciation                           ")</f>
        <v xml:space="preserve">     Employees' Appreciation                           </v>
      </c>
      <c r="C175" s="14"/>
      <c r="D175" s="1">
        <f>SUM(OSRRefD22_8x_0)</f>
        <v>0</v>
      </c>
      <c r="E175" s="1"/>
      <c r="F175" s="5">
        <f t="shared" ref="F175:F181" si="65">IF(D$12=0,0,D175/D$12)</f>
        <v>0</v>
      </c>
      <c r="G175" s="1"/>
      <c r="H175" s="1">
        <f>SUM(OSRRefH22_8x_0)</f>
        <v>420</v>
      </c>
      <c r="I175" s="1"/>
      <c r="J175" s="5">
        <f t="shared" ref="J175:J181" si="66">IF(H$12=0,0,H175/H$12)</f>
        <v>8.422825858075383E-4</v>
      </c>
      <c r="K175" s="1"/>
      <c r="L175" s="1">
        <f t="shared" ref="L175:L181" si="67">+D175-H175</f>
        <v>-420</v>
      </c>
      <c r="M175" s="1"/>
      <c r="N175" s="5">
        <f t="shared" ref="N175:N181" si="68">IF(H175=0,0,L175/H175)</f>
        <v>-1</v>
      </c>
      <c r="O175" s="14"/>
      <c r="P175" s="1">
        <f>SUM(OSRRefP22_8x_0)</f>
        <v>107.7</v>
      </c>
      <c r="Q175" s="1"/>
      <c r="R175" s="5">
        <f t="shared" ref="R175:R181" si="69">IF(P$12=0,0,P175/P$12)</f>
        <v>2.9419109279950168E-5</v>
      </c>
      <c r="S175" s="1"/>
      <c r="T175" s="1">
        <f>SUM(OSRRefT22_8x_0)</f>
        <v>2150</v>
      </c>
      <c r="U175" s="1"/>
      <c r="V175" s="5">
        <f t="shared" ref="V175:V181" si="70">IF(T$12=0,0,T175/T$12)</f>
        <v>3.7788251860983526E-4</v>
      </c>
      <c r="W175" s="1"/>
      <c r="X175" s="1">
        <f t="shared" ref="X175:X181" si="71">+P175-T175</f>
        <v>-2042.3</v>
      </c>
      <c r="Y175" s="1"/>
      <c r="Z175" s="5">
        <f t="shared" ref="Z175:Z181" si="72">IF(T175=0,0,X175/T175)</f>
        <v>-0.949906976744186</v>
      </c>
    </row>
    <row r="176" spans="1:26" s="24" customFormat="1" hidden="1" outlineLevel="2" x14ac:dyDescent="0.25">
      <c r="A176" s="28"/>
      <c r="B176" s="11" t="str">
        <f>CONCATENATE("          ", "6277", " - ", "EMPLOYEE APPRECIATION")</f>
        <v xml:space="preserve">          6277 - EMPLOYEE APPRECIATION</v>
      </c>
      <c r="C176" s="11"/>
      <c r="D176" s="6"/>
      <c r="E176" s="2"/>
      <c r="F176" s="7">
        <f t="shared" si="65"/>
        <v>0</v>
      </c>
      <c r="G176" s="2"/>
      <c r="H176" s="6">
        <v>420</v>
      </c>
      <c r="I176" s="2"/>
      <c r="J176" s="7">
        <f t="shared" si="66"/>
        <v>8.422825858075383E-4</v>
      </c>
      <c r="K176" s="2"/>
      <c r="L176" s="6">
        <f t="shared" si="67"/>
        <v>-420</v>
      </c>
      <c r="M176" s="2"/>
      <c r="N176" s="7">
        <f t="shared" si="68"/>
        <v>-1</v>
      </c>
      <c r="O176" s="11"/>
      <c r="P176" s="6">
        <v>107.7</v>
      </c>
      <c r="Q176" s="2"/>
      <c r="R176" s="7">
        <f t="shared" si="69"/>
        <v>2.9419109279950168E-5</v>
      </c>
      <c r="S176" s="2"/>
      <c r="T176" s="6">
        <v>2150</v>
      </c>
      <c r="U176" s="2"/>
      <c r="V176" s="7">
        <f t="shared" si="70"/>
        <v>3.7788251860983526E-4</v>
      </c>
      <c r="W176" s="2"/>
      <c r="X176" s="6">
        <f t="shared" si="71"/>
        <v>-2042.3</v>
      </c>
      <c r="Y176" s="2"/>
      <c r="Z176" s="7">
        <f t="shared" si="72"/>
        <v>-0.949906976744186</v>
      </c>
    </row>
    <row r="177" spans="1:26" s="29" customFormat="1" outlineLevel="1" collapsed="1" x14ac:dyDescent="0.25">
      <c r="A177" s="27"/>
      <c r="B177" s="14" t="str">
        <f>CONCATENATE("     ","Equipment Rental                                  ")</f>
        <v xml:space="preserve">     Equipment Rental                                  </v>
      </c>
      <c r="C177" s="14"/>
      <c r="D177" s="1">
        <f>SUM(OSRRefD22_9x_0)</f>
        <v>1712.05</v>
      </c>
      <c r="E177" s="1"/>
      <c r="F177" s="5">
        <f t="shared" si="65"/>
        <v>1.0026410504044913E-2</v>
      </c>
      <c r="G177" s="1"/>
      <c r="H177" s="1">
        <f>SUM(OSRRefH22_9x_0)</f>
        <v>3006</v>
      </c>
      <c r="I177" s="1"/>
      <c r="J177" s="5">
        <f t="shared" si="66"/>
        <v>6.0283367927082389E-3</v>
      </c>
      <c r="K177" s="1"/>
      <c r="L177" s="1">
        <f t="shared" si="67"/>
        <v>-1293.95</v>
      </c>
      <c r="M177" s="1"/>
      <c r="N177" s="5">
        <f t="shared" si="68"/>
        <v>-0.43045575515635398</v>
      </c>
      <c r="O177" s="14"/>
      <c r="P177" s="1">
        <f>SUM(OSRRefP22_9x_0)</f>
        <v>7679.84</v>
      </c>
      <c r="Q177" s="1"/>
      <c r="R177" s="5">
        <f t="shared" si="69"/>
        <v>2.0978092127440342E-3</v>
      </c>
      <c r="S177" s="1"/>
      <c r="T177" s="1">
        <f>SUM(OSRRefT22_9x_0)</f>
        <v>15030</v>
      </c>
      <c r="U177" s="1"/>
      <c r="V177" s="5">
        <f t="shared" si="70"/>
        <v>2.6416624440492205E-3</v>
      </c>
      <c r="W177" s="1"/>
      <c r="X177" s="1">
        <f t="shared" si="71"/>
        <v>-7350.16</v>
      </c>
      <c r="Y177" s="1"/>
      <c r="Z177" s="5">
        <f t="shared" si="72"/>
        <v>-0.48903260146373917</v>
      </c>
    </row>
    <row r="178" spans="1:26" s="24" customFormat="1" hidden="1" outlineLevel="2" x14ac:dyDescent="0.25">
      <c r="A178" s="28"/>
      <c r="B178" s="11" t="str">
        <f>CONCATENATE("          ", "6351", " - ", "EQUIPMENT RENTAL")</f>
        <v xml:space="preserve">          6351 - EQUIPMENT RENTAL</v>
      </c>
      <c r="C178" s="11"/>
      <c r="D178" s="6">
        <v>1712.05</v>
      </c>
      <c r="E178" s="2"/>
      <c r="F178" s="7">
        <f t="shared" si="65"/>
        <v>1.0026410504044913E-2</v>
      </c>
      <c r="G178" s="2"/>
      <c r="H178" s="6">
        <v>3006</v>
      </c>
      <c r="I178" s="2"/>
      <c r="J178" s="7">
        <f t="shared" si="66"/>
        <v>6.0283367927082389E-3</v>
      </c>
      <c r="K178" s="2"/>
      <c r="L178" s="6">
        <f t="shared" si="67"/>
        <v>-1293.95</v>
      </c>
      <c r="M178" s="2"/>
      <c r="N178" s="7">
        <f t="shared" si="68"/>
        <v>-0.43045575515635398</v>
      </c>
      <c r="O178" s="11"/>
      <c r="P178" s="6">
        <v>7679.84</v>
      </c>
      <c r="Q178" s="2"/>
      <c r="R178" s="7">
        <f t="shared" si="69"/>
        <v>2.0978092127440342E-3</v>
      </c>
      <c r="S178" s="2"/>
      <c r="T178" s="6">
        <v>15030</v>
      </c>
      <c r="U178" s="2"/>
      <c r="V178" s="7">
        <f t="shared" si="70"/>
        <v>2.6416624440492205E-3</v>
      </c>
      <c r="W178" s="2"/>
      <c r="X178" s="6">
        <f t="shared" si="71"/>
        <v>-7350.16</v>
      </c>
      <c r="Y178" s="2"/>
      <c r="Z178" s="7">
        <f t="shared" si="72"/>
        <v>-0.48903260146373917</v>
      </c>
    </row>
    <row r="179" spans="1:26" s="29" customFormat="1" outlineLevel="1" collapsed="1" x14ac:dyDescent="0.25">
      <c r="A179" s="27"/>
      <c r="B179" s="14" t="str">
        <f>CONCATENATE("     ","Freight out/Postage                               ")</f>
        <v xml:space="preserve">     Freight out/Postage                               </v>
      </c>
      <c r="C179" s="14"/>
      <c r="D179" s="1">
        <f>SUM(OSRRefD22_10x_0)</f>
        <v>12765.690000000002</v>
      </c>
      <c r="E179" s="1"/>
      <c r="F179" s="5">
        <f t="shared" si="65"/>
        <v>7.4760695252697726E-2</v>
      </c>
      <c r="G179" s="1"/>
      <c r="H179" s="1">
        <f>SUM(OSRRefH22_10x_0)</f>
        <v>8636</v>
      </c>
      <c r="I179" s="1"/>
      <c r="J179" s="5">
        <f t="shared" si="66"/>
        <v>1.731893431198548E-2</v>
      </c>
      <c r="K179" s="1"/>
      <c r="L179" s="1">
        <f t="shared" si="67"/>
        <v>4129.6900000000023</v>
      </c>
      <c r="M179" s="1"/>
      <c r="N179" s="5">
        <f t="shared" si="68"/>
        <v>0.47819476609541484</v>
      </c>
      <c r="O179" s="14"/>
      <c r="P179" s="1">
        <f>SUM(OSRRefP22_10x_0)</f>
        <v>-18527.190000000002</v>
      </c>
      <c r="Q179" s="1"/>
      <c r="R179" s="5">
        <f t="shared" si="69"/>
        <v>-5.0608489067818013E-3</v>
      </c>
      <c r="S179" s="1"/>
      <c r="T179" s="1">
        <f>SUM(OSRRefT22_10x_0)</f>
        <v>43572</v>
      </c>
      <c r="U179" s="1"/>
      <c r="V179" s="5">
        <f t="shared" si="70"/>
        <v>7.6581846980780192E-3</v>
      </c>
      <c r="W179" s="1"/>
      <c r="X179" s="1">
        <f t="shared" si="71"/>
        <v>-62099.19</v>
      </c>
      <c r="Y179" s="1"/>
      <c r="Z179" s="5">
        <f t="shared" si="72"/>
        <v>-1.4252086202148169</v>
      </c>
    </row>
    <row r="180" spans="1:26" s="24" customFormat="1" hidden="1" outlineLevel="2" x14ac:dyDescent="0.25">
      <c r="A180" s="28"/>
      <c r="B180" s="11" t="str">
        <f>CONCATENATE("          ", "6305", " - ", "FREIGHT OUT")</f>
        <v xml:space="preserve">          6305 - FREIGHT OUT</v>
      </c>
      <c r="C180" s="11"/>
      <c r="D180" s="6">
        <v>17085.400000000001</v>
      </c>
      <c r="E180" s="2"/>
      <c r="F180" s="7">
        <f t="shared" si="65"/>
        <v>0.1000585462023942</v>
      </c>
      <c r="G180" s="2"/>
      <c r="H180" s="6">
        <v>7616</v>
      </c>
      <c r="I180" s="2"/>
      <c r="J180" s="7">
        <f t="shared" si="66"/>
        <v>1.5273390889310028E-2</v>
      </c>
      <c r="K180" s="2"/>
      <c r="L180" s="6">
        <f t="shared" si="67"/>
        <v>9469.4000000000015</v>
      </c>
      <c r="M180" s="2"/>
      <c r="N180" s="7">
        <f t="shared" si="68"/>
        <v>1.2433560924369751</v>
      </c>
      <c r="O180" s="11"/>
      <c r="P180" s="6">
        <v>103876.01</v>
      </c>
      <c r="Q180" s="2"/>
      <c r="R180" s="7">
        <f t="shared" si="69"/>
        <v>2.8374556079435433E-2</v>
      </c>
      <c r="S180" s="2"/>
      <c r="T180" s="6">
        <v>27722</v>
      </c>
      <c r="U180" s="2"/>
      <c r="V180" s="7">
        <f t="shared" si="70"/>
        <v>4.8723996190241179E-3</v>
      </c>
      <c r="W180" s="2"/>
      <c r="X180" s="6">
        <f t="shared" si="71"/>
        <v>76154.009999999995</v>
      </c>
      <c r="Y180" s="2"/>
      <c r="Z180" s="7">
        <f t="shared" si="72"/>
        <v>2.7470604573984558</v>
      </c>
    </row>
    <row r="181" spans="1:26" s="24" customFormat="1" hidden="1" outlineLevel="2" x14ac:dyDescent="0.25">
      <c r="A181" s="28"/>
      <c r="B181" s="11" t="str">
        <f>CONCATENATE("          ", "6307", " - ", "POSTAGE")</f>
        <v xml:space="preserve">          6307 - POSTAGE</v>
      </c>
      <c r="C181" s="11"/>
      <c r="D181" s="6">
        <v>-4319.71</v>
      </c>
      <c r="E181" s="2"/>
      <c r="F181" s="7">
        <f t="shared" si="65"/>
        <v>-2.5297850949696478E-2</v>
      </c>
      <c r="G181" s="2"/>
      <c r="H181" s="6">
        <v>1020</v>
      </c>
      <c r="I181" s="2"/>
      <c r="J181" s="7">
        <f t="shared" si="66"/>
        <v>2.0455434226754501E-3</v>
      </c>
      <c r="K181" s="2"/>
      <c r="L181" s="6">
        <f t="shared" si="67"/>
        <v>-5339.71</v>
      </c>
      <c r="M181" s="2"/>
      <c r="N181" s="7">
        <f t="shared" si="68"/>
        <v>-5.2350098039215682</v>
      </c>
      <c r="O181" s="11"/>
      <c r="P181" s="6">
        <v>-122403.2</v>
      </c>
      <c r="Q181" s="2"/>
      <c r="R181" s="7">
        <f t="shared" si="69"/>
        <v>-3.3435404986217235E-2</v>
      </c>
      <c r="S181" s="2"/>
      <c r="T181" s="6">
        <v>15850</v>
      </c>
      <c r="U181" s="2"/>
      <c r="V181" s="7">
        <f t="shared" si="70"/>
        <v>2.7857850790539017E-3</v>
      </c>
      <c r="W181" s="2"/>
      <c r="X181" s="6">
        <f t="shared" si="71"/>
        <v>-138253.20000000001</v>
      </c>
      <c r="Y181" s="2"/>
      <c r="Z181" s="7">
        <f t="shared" si="72"/>
        <v>-8.7225993690851737</v>
      </c>
    </row>
    <row r="182" spans="1:26" s="29" customFormat="1" outlineLevel="1" collapsed="1" x14ac:dyDescent="0.25">
      <c r="A182" s="27"/>
      <c r="B182" s="14" t="str">
        <f>CONCATENATE("     ","General                                           ")</f>
        <v xml:space="preserve">     General                                           </v>
      </c>
      <c r="C182" s="14"/>
      <c r="D182" s="1">
        <f>SUM(OSRRefD22_11x_0)</f>
        <v>3792.73</v>
      </c>
      <c r="E182" s="1"/>
      <c r="F182" s="5">
        <f t="shared" ref="F182:F185" si="73">IF(D$12=0,0,D182/D$12)</f>
        <v>2.2211657317839004E-2</v>
      </c>
      <c r="G182" s="1"/>
      <c r="H182" s="1">
        <f>SUM(OSRRefH22_11x_0)</f>
        <v>3080</v>
      </c>
      <c r="I182" s="1"/>
      <c r="J182" s="5">
        <f t="shared" ref="J182:J185" si="74">IF(H$12=0,0,H182/H$12)</f>
        <v>6.176738962588614E-3</v>
      </c>
      <c r="K182" s="1"/>
      <c r="L182" s="1">
        <f t="shared" ref="L182:L185" si="75">+D182-H182</f>
        <v>712.73</v>
      </c>
      <c r="M182" s="1"/>
      <c r="N182" s="5">
        <f t="shared" ref="N182:N185" si="76">IF(H182=0,0,L182/H182)</f>
        <v>0.23140584415584417</v>
      </c>
      <c r="O182" s="14"/>
      <c r="P182" s="1">
        <f>SUM(OSRRefP22_11x_0)</f>
        <v>515.75</v>
      </c>
      <c r="Q182" s="1"/>
      <c r="R182" s="5">
        <f t="shared" ref="R182:R185" si="77">IF(P$12=0,0,P182/P$12)</f>
        <v>1.4088120344600091E-4</v>
      </c>
      <c r="S182" s="1"/>
      <c r="T182" s="1">
        <f>SUM(OSRRefT22_11x_0)</f>
        <v>6525</v>
      </c>
      <c r="U182" s="1"/>
      <c r="V182" s="5">
        <f t="shared" ref="V182:V185" si="78">IF(T$12=0,0,T182/T$12)</f>
        <v>1.1468295041531047E-3</v>
      </c>
      <c r="W182" s="1"/>
      <c r="X182" s="1">
        <f t="shared" ref="X182:X185" si="79">+P182-T182</f>
        <v>-6009.25</v>
      </c>
      <c r="Y182" s="1"/>
      <c r="Z182" s="5">
        <f t="shared" ref="Z182:Z185" si="80">IF(T182=0,0,X182/T182)</f>
        <v>-0.92095785440613032</v>
      </c>
    </row>
    <row r="183" spans="1:26" s="24" customFormat="1" hidden="1" outlineLevel="2" x14ac:dyDescent="0.25">
      <c r="A183" s="28"/>
      <c r="B183" s="11" t="str">
        <f>CONCATENATE("          ", "6269", " - ", "ENTERTAINMENT")</f>
        <v xml:space="preserve">          6269 - ENTERTAINMENT</v>
      </c>
      <c r="C183" s="11"/>
      <c r="D183" s="6"/>
      <c r="E183" s="2"/>
      <c r="F183" s="7">
        <f t="shared" si="73"/>
        <v>0</v>
      </c>
      <c r="G183" s="2"/>
      <c r="H183" s="6">
        <v>1250</v>
      </c>
      <c r="I183" s="2"/>
      <c r="J183" s="7">
        <f t="shared" si="74"/>
        <v>2.5067934101414831E-3</v>
      </c>
      <c r="K183" s="2"/>
      <c r="L183" s="6">
        <f t="shared" si="75"/>
        <v>-1250</v>
      </c>
      <c r="M183" s="2"/>
      <c r="N183" s="7">
        <f t="shared" si="76"/>
        <v>-1</v>
      </c>
      <c r="O183" s="11"/>
      <c r="P183" s="6"/>
      <c r="Q183" s="2"/>
      <c r="R183" s="7">
        <f t="shared" si="77"/>
        <v>0</v>
      </c>
      <c r="S183" s="2"/>
      <c r="T183" s="6">
        <v>1375</v>
      </c>
      <c r="U183" s="2"/>
      <c r="V183" s="7">
        <f t="shared" si="78"/>
        <v>2.4166905259931324E-4</v>
      </c>
      <c r="W183" s="2"/>
      <c r="X183" s="6">
        <f t="shared" si="79"/>
        <v>-1375</v>
      </c>
      <c r="Y183" s="2"/>
      <c r="Z183" s="7">
        <f t="shared" si="80"/>
        <v>-1</v>
      </c>
    </row>
    <row r="184" spans="1:26" s="24" customFormat="1" hidden="1" outlineLevel="2" x14ac:dyDescent="0.25">
      <c r="A184" s="28"/>
      <c r="B184" s="11" t="str">
        <f>CONCATENATE("          ", "6276", " - ", "PROPERTY TAX")</f>
        <v xml:space="preserve">          6276 - PROPERTY TAX</v>
      </c>
      <c r="C184" s="11"/>
      <c r="D184" s="6"/>
      <c r="E184" s="2"/>
      <c r="F184" s="7">
        <f t="shared" si="73"/>
        <v>0</v>
      </c>
      <c r="G184" s="2"/>
      <c r="H184" s="6"/>
      <c r="I184" s="2"/>
      <c r="J184" s="7">
        <f t="shared" si="74"/>
        <v>0</v>
      </c>
      <c r="K184" s="2"/>
      <c r="L184" s="6">
        <f t="shared" si="75"/>
        <v>0</v>
      </c>
      <c r="M184" s="2"/>
      <c r="N184" s="7">
        <f t="shared" si="76"/>
        <v>0</v>
      </c>
      <c r="O184" s="11"/>
      <c r="P184" s="6"/>
      <c r="Q184" s="2"/>
      <c r="R184" s="7">
        <f t="shared" si="77"/>
        <v>0</v>
      </c>
      <c r="S184" s="2"/>
      <c r="T184" s="6">
        <v>150</v>
      </c>
      <c r="U184" s="2"/>
      <c r="V184" s="7">
        <f t="shared" si="78"/>
        <v>2.6363896647197806E-5</v>
      </c>
      <c r="W184" s="2"/>
      <c r="X184" s="6">
        <f t="shared" si="79"/>
        <v>-150</v>
      </c>
      <c r="Y184" s="2"/>
      <c r="Z184" s="7">
        <f t="shared" si="80"/>
        <v>-1</v>
      </c>
    </row>
    <row r="185" spans="1:26" s="24" customFormat="1" hidden="1" outlineLevel="2" x14ac:dyDescent="0.25">
      <c r="A185" s="28"/>
      <c r="B185" s="11" t="str">
        <f>CONCATENATE("          ", "6279", " - ", "GENERAL EXPENSE")</f>
        <v xml:space="preserve">          6279 - GENERAL EXPENSE</v>
      </c>
      <c r="C185" s="11"/>
      <c r="D185" s="6">
        <v>3792.73</v>
      </c>
      <c r="E185" s="2"/>
      <c r="F185" s="7">
        <f t="shared" si="73"/>
        <v>2.2211657317839004E-2</v>
      </c>
      <c r="G185" s="2"/>
      <c r="H185" s="6">
        <v>1830</v>
      </c>
      <c r="I185" s="2"/>
      <c r="J185" s="7">
        <f t="shared" si="74"/>
        <v>3.6699455524471314E-3</v>
      </c>
      <c r="K185" s="2"/>
      <c r="L185" s="6">
        <f t="shared" si="75"/>
        <v>1962.73</v>
      </c>
      <c r="M185" s="2"/>
      <c r="N185" s="7">
        <f t="shared" si="76"/>
        <v>1.0725300546448087</v>
      </c>
      <c r="O185" s="11"/>
      <c r="P185" s="6">
        <v>515.75</v>
      </c>
      <c r="Q185" s="2"/>
      <c r="R185" s="7">
        <f t="shared" si="77"/>
        <v>1.4088120344600091E-4</v>
      </c>
      <c r="S185" s="2"/>
      <c r="T185" s="6">
        <v>5000</v>
      </c>
      <c r="U185" s="2"/>
      <c r="V185" s="7">
        <f t="shared" si="78"/>
        <v>8.787965549065936E-4</v>
      </c>
      <c r="W185" s="2"/>
      <c r="X185" s="6">
        <f t="shared" si="79"/>
        <v>-4484.25</v>
      </c>
      <c r="Y185" s="2"/>
      <c r="Z185" s="7">
        <f t="shared" si="80"/>
        <v>-0.89685000000000004</v>
      </c>
    </row>
    <row r="186" spans="1:26" s="29" customFormat="1" outlineLevel="1" collapsed="1" x14ac:dyDescent="0.25">
      <c r="A186" s="27"/>
      <c r="B186" s="14" t="str">
        <f>CONCATENATE("     ","Insurance                                         ")</f>
        <v xml:space="preserve">     Insurance                                         </v>
      </c>
      <c r="C186" s="14"/>
      <c r="D186" s="1">
        <f>SUM(OSRRefD22_12x_0)</f>
        <v>4044.74</v>
      </c>
      <c r="E186" s="1"/>
      <c r="F186" s="5">
        <f t="shared" ref="F186:F198" si="81">IF(D$12=0,0,D186/D$12)</f>
        <v>2.368752292405632E-2</v>
      </c>
      <c r="G186" s="1"/>
      <c r="H186" s="1">
        <f>SUM(OSRRefH22_12x_0)</f>
        <v>4446</v>
      </c>
      <c r="I186" s="1"/>
      <c r="J186" s="5">
        <f t="shared" ref="J186:J198" si="82">IF(H$12=0,0,H186/H$12)</f>
        <v>8.916162801191228E-3</v>
      </c>
      <c r="K186" s="1"/>
      <c r="L186" s="1">
        <f t="shared" ref="L186:L198" si="83">+D186-H186</f>
        <v>-401.26000000000022</v>
      </c>
      <c r="M186" s="1"/>
      <c r="N186" s="5">
        <f t="shared" ref="N186:N198" si="84">IF(H186=0,0,L186/H186)</f>
        <v>-9.0251911830859247E-2</v>
      </c>
      <c r="O186" s="14"/>
      <c r="P186" s="1">
        <f>SUM(OSRRefP22_12x_0)</f>
        <v>20223.7</v>
      </c>
      <c r="Q186" s="1"/>
      <c r="R186" s="5">
        <f t="shared" ref="R186:R198" si="85">IF(P$12=0,0,P186/P$12)</f>
        <v>5.5242640700550434E-3</v>
      </c>
      <c r="S186" s="1"/>
      <c r="T186" s="1">
        <f>SUM(OSRRefT22_12x_0)</f>
        <v>22230</v>
      </c>
      <c r="U186" s="1"/>
      <c r="V186" s="5">
        <f t="shared" ref="V186:V198" si="86">IF(T$12=0,0,T186/T$12)</f>
        <v>3.9071294831147154E-3</v>
      </c>
      <c r="W186" s="1"/>
      <c r="X186" s="1">
        <f t="shared" ref="X186:X198" si="87">+P186-T186</f>
        <v>-2006.2999999999993</v>
      </c>
      <c r="Y186" s="1"/>
      <c r="Z186" s="5">
        <f t="shared" ref="Z186:Z198" si="88">IF(T186=0,0,X186/T186)</f>
        <v>-9.0251911830859163E-2</v>
      </c>
    </row>
    <row r="187" spans="1:26" s="24" customFormat="1" hidden="1" outlineLevel="2" x14ac:dyDescent="0.25">
      <c r="A187" s="28"/>
      <c r="B187" s="11" t="str">
        <f>CONCATENATE("          ", "6314", " - ", "LIABILITY INSURANCE")</f>
        <v xml:space="preserve">          6314 - LIABILITY INSURANCE</v>
      </c>
      <c r="C187" s="11"/>
      <c r="D187" s="6">
        <v>4044.74</v>
      </c>
      <c r="E187" s="2"/>
      <c r="F187" s="7">
        <f t="shared" si="81"/>
        <v>2.368752292405632E-2</v>
      </c>
      <c r="G187" s="2"/>
      <c r="H187" s="6">
        <v>4446</v>
      </c>
      <c r="I187" s="2"/>
      <c r="J187" s="7">
        <f t="shared" si="82"/>
        <v>8.916162801191228E-3</v>
      </c>
      <c r="K187" s="2"/>
      <c r="L187" s="6">
        <f t="shared" si="83"/>
        <v>-401.26000000000022</v>
      </c>
      <c r="M187" s="2"/>
      <c r="N187" s="7">
        <f t="shared" si="84"/>
        <v>-9.0251911830859247E-2</v>
      </c>
      <c r="O187" s="11"/>
      <c r="P187" s="6">
        <v>20223.7</v>
      </c>
      <c r="Q187" s="2"/>
      <c r="R187" s="7">
        <f t="shared" si="85"/>
        <v>5.5242640700550434E-3</v>
      </c>
      <c r="S187" s="2"/>
      <c r="T187" s="6">
        <v>22230</v>
      </c>
      <c r="U187" s="2"/>
      <c r="V187" s="7">
        <f t="shared" si="86"/>
        <v>3.9071294831147154E-3</v>
      </c>
      <c r="W187" s="2"/>
      <c r="X187" s="6">
        <f t="shared" si="87"/>
        <v>-2006.2999999999993</v>
      </c>
      <c r="Y187" s="2"/>
      <c r="Z187" s="7">
        <f t="shared" si="88"/>
        <v>-9.0251911830859163E-2</v>
      </c>
    </row>
    <row r="188" spans="1:26" s="29" customFormat="1" outlineLevel="1" collapsed="1" x14ac:dyDescent="0.25">
      <c r="A188" s="27"/>
      <c r="B188" s="14" t="str">
        <f>CONCATENATE("     ","Inventory Adjustment                              ")</f>
        <v xml:space="preserve">     Inventory Adjustment                              </v>
      </c>
      <c r="C188" s="14"/>
      <c r="D188" s="1">
        <f>SUM(OSRRefD22_13x_0)</f>
        <v>3350</v>
      </c>
      <c r="E188" s="1"/>
      <c r="F188" s="5">
        <f t="shared" si="81"/>
        <v>1.9618863461084934E-2</v>
      </c>
      <c r="G188" s="1"/>
      <c r="H188" s="1">
        <f>SUM(OSRRefH22_13x_0)</f>
        <v>4350</v>
      </c>
      <c r="I188" s="1"/>
      <c r="J188" s="5">
        <f t="shared" si="82"/>
        <v>8.7236410672923616E-3</v>
      </c>
      <c r="K188" s="1"/>
      <c r="L188" s="1">
        <f t="shared" si="83"/>
        <v>-1000</v>
      </c>
      <c r="M188" s="1"/>
      <c r="N188" s="5">
        <f t="shared" si="84"/>
        <v>-0.22988505747126436</v>
      </c>
      <c r="O188" s="14"/>
      <c r="P188" s="1">
        <f>SUM(OSRRefP22_13x_0)</f>
        <v>16750</v>
      </c>
      <c r="Q188" s="1"/>
      <c r="R188" s="5">
        <f t="shared" si="85"/>
        <v>4.5753953615521384E-3</v>
      </c>
      <c r="S188" s="1"/>
      <c r="T188" s="1">
        <f>SUM(OSRRefT22_13x_0)</f>
        <v>21750</v>
      </c>
      <c r="U188" s="1"/>
      <c r="V188" s="5">
        <f t="shared" si="86"/>
        <v>3.8227650138436819E-3</v>
      </c>
      <c r="W188" s="1"/>
      <c r="X188" s="1">
        <f t="shared" si="87"/>
        <v>-5000</v>
      </c>
      <c r="Y188" s="1"/>
      <c r="Z188" s="5">
        <f t="shared" si="88"/>
        <v>-0.22988505747126436</v>
      </c>
    </row>
    <row r="189" spans="1:26" s="24" customFormat="1" hidden="1" outlineLevel="2" x14ac:dyDescent="0.25">
      <c r="A189" s="28"/>
      <c r="B189" s="11" t="str">
        <f>CONCATENATE("          ", "6408", " - ", "INVENTORY ADJUSTMENT")</f>
        <v xml:space="preserve">          6408 - INVENTORY ADJUSTMENT</v>
      </c>
      <c r="C189" s="11"/>
      <c r="D189" s="6">
        <v>3350</v>
      </c>
      <c r="E189" s="2"/>
      <c r="F189" s="7">
        <f t="shared" si="81"/>
        <v>1.9618863461084934E-2</v>
      </c>
      <c r="G189" s="2"/>
      <c r="H189" s="6">
        <v>4350</v>
      </c>
      <c r="I189" s="2"/>
      <c r="J189" s="7">
        <f t="shared" si="82"/>
        <v>8.7236410672923616E-3</v>
      </c>
      <c r="K189" s="2"/>
      <c r="L189" s="6">
        <f t="shared" si="83"/>
        <v>-1000</v>
      </c>
      <c r="M189" s="2"/>
      <c r="N189" s="7">
        <f t="shared" si="84"/>
        <v>-0.22988505747126436</v>
      </c>
      <c r="O189" s="11"/>
      <c r="P189" s="6">
        <v>16750</v>
      </c>
      <c r="Q189" s="2"/>
      <c r="R189" s="7">
        <f t="shared" si="85"/>
        <v>4.5753953615521384E-3</v>
      </c>
      <c r="S189" s="2"/>
      <c r="T189" s="6">
        <v>21750</v>
      </c>
      <c r="U189" s="2"/>
      <c r="V189" s="7">
        <f t="shared" si="86"/>
        <v>3.8227650138436819E-3</v>
      </c>
      <c r="W189" s="2"/>
      <c r="X189" s="6">
        <f t="shared" si="87"/>
        <v>-5000</v>
      </c>
      <c r="Y189" s="2"/>
      <c r="Z189" s="7">
        <f t="shared" si="88"/>
        <v>-0.22988505747126436</v>
      </c>
    </row>
    <row r="190" spans="1:26" s="29" customFormat="1" outlineLevel="1" collapsed="1" x14ac:dyDescent="0.25">
      <c r="A190" s="27"/>
      <c r="B190" s="14" t="str">
        <f>CONCATENATE("     ","Professional Services                             ")</f>
        <v xml:space="preserve">     Professional Services                             </v>
      </c>
      <c r="C190" s="14"/>
      <c r="D190" s="1">
        <f>SUM(OSRRefD22_14x_0)</f>
        <v>0</v>
      </c>
      <c r="E190" s="1"/>
      <c r="F190" s="5">
        <f t="shared" si="81"/>
        <v>0</v>
      </c>
      <c r="G190" s="1"/>
      <c r="H190" s="1">
        <f>SUM(OSRRefH22_14x_0)</f>
        <v>0</v>
      </c>
      <c r="I190" s="1"/>
      <c r="J190" s="5">
        <f t="shared" si="82"/>
        <v>0</v>
      </c>
      <c r="K190" s="1"/>
      <c r="L190" s="1">
        <f t="shared" si="83"/>
        <v>0</v>
      </c>
      <c r="M190" s="1"/>
      <c r="N190" s="5">
        <f t="shared" si="84"/>
        <v>0</v>
      </c>
      <c r="O190" s="14"/>
      <c r="P190" s="1">
        <f>SUM(OSRRefP22_14x_0)</f>
        <v>0</v>
      </c>
      <c r="Q190" s="1"/>
      <c r="R190" s="5">
        <f t="shared" si="85"/>
        <v>0</v>
      </c>
      <c r="S190" s="1"/>
      <c r="T190" s="1">
        <f>SUM(OSRRefT22_14x_0)</f>
        <v>6800</v>
      </c>
      <c r="U190" s="1"/>
      <c r="V190" s="5">
        <f t="shared" si="86"/>
        <v>1.1951633146729673E-3</v>
      </c>
      <c r="W190" s="1"/>
      <c r="X190" s="1">
        <f t="shared" si="87"/>
        <v>-6800</v>
      </c>
      <c r="Y190" s="1"/>
      <c r="Z190" s="5">
        <f t="shared" si="88"/>
        <v>-1</v>
      </c>
    </row>
    <row r="191" spans="1:26" s="24" customFormat="1" hidden="1" outlineLevel="2" x14ac:dyDescent="0.25">
      <c r="A191" s="28"/>
      <c r="B191" s="11" t="str">
        <f>CONCATENATE("          ", "6336", " - ", "PROFESSIONAL SERVICES")</f>
        <v xml:space="preserve">          6336 - PROFESSIONAL SERVICES</v>
      </c>
      <c r="C191" s="11"/>
      <c r="D191" s="6"/>
      <c r="E191" s="2"/>
      <c r="F191" s="7">
        <f t="shared" si="81"/>
        <v>0</v>
      </c>
      <c r="G191" s="2"/>
      <c r="H191" s="6">
        <v>0</v>
      </c>
      <c r="I191" s="2"/>
      <c r="J191" s="7">
        <f t="shared" si="82"/>
        <v>0</v>
      </c>
      <c r="K191" s="2"/>
      <c r="L191" s="6">
        <f t="shared" si="83"/>
        <v>0</v>
      </c>
      <c r="M191" s="2"/>
      <c r="N191" s="7">
        <f t="shared" si="84"/>
        <v>0</v>
      </c>
      <c r="O191" s="11"/>
      <c r="P191" s="6"/>
      <c r="Q191" s="2"/>
      <c r="R191" s="7">
        <f t="shared" si="85"/>
        <v>0</v>
      </c>
      <c r="S191" s="2"/>
      <c r="T191" s="6">
        <v>6800</v>
      </c>
      <c r="U191" s="2"/>
      <c r="V191" s="7">
        <f t="shared" si="86"/>
        <v>1.1951633146729673E-3</v>
      </c>
      <c r="W191" s="2"/>
      <c r="X191" s="6">
        <f t="shared" si="87"/>
        <v>-6800</v>
      </c>
      <c r="Y191" s="2"/>
      <c r="Z191" s="7">
        <f t="shared" si="88"/>
        <v>-1</v>
      </c>
    </row>
    <row r="192" spans="1:26" s="29" customFormat="1" outlineLevel="1" collapsed="1" x14ac:dyDescent="0.25">
      <c r="A192" s="27"/>
      <c r="B192" s="14" t="str">
        <f>CONCATENATE("     ","Rent                                              ")</f>
        <v xml:space="preserve">     Rent                                              </v>
      </c>
      <c r="C192" s="14"/>
      <c r="D192" s="1">
        <f>SUM(OSRRefD22_15x_0)</f>
        <v>6100</v>
      </c>
      <c r="E192" s="1"/>
      <c r="F192" s="5">
        <f t="shared" si="81"/>
        <v>3.5723900630632265E-2</v>
      </c>
      <c r="G192" s="1"/>
      <c r="H192" s="1">
        <f>SUM(OSRRefH22_15x_0)</f>
        <v>6100</v>
      </c>
      <c r="I192" s="1"/>
      <c r="J192" s="5">
        <f t="shared" si="82"/>
        <v>1.2233151841490437E-2</v>
      </c>
      <c r="K192" s="1"/>
      <c r="L192" s="1">
        <f t="shared" si="83"/>
        <v>0</v>
      </c>
      <c r="M192" s="1"/>
      <c r="N192" s="5">
        <f t="shared" si="84"/>
        <v>0</v>
      </c>
      <c r="O192" s="14"/>
      <c r="P192" s="1">
        <f>SUM(OSRRefP22_15x_0)</f>
        <v>30500</v>
      </c>
      <c r="Q192" s="1"/>
      <c r="R192" s="5">
        <f t="shared" si="85"/>
        <v>8.3313169270053857E-3</v>
      </c>
      <c r="S192" s="1"/>
      <c r="T192" s="1">
        <f>SUM(OSRRefT22_15x_0)</f>
        <v>30501</v>
      </c>
      <c r="U192" s="1"/>
      <c r="V192" s="5">
        <f t="shared" si="86"/>
        <v>5.3608347442412026E-3</v>
      </c>
      <c r="W192" s="1"/>
      <c r="X192" s="1">
        <f t="shared" si="87"/>
        <v>-1</v>
      </c>
      <c r="Y192" s="1"/>
      <c r="Z192" s="5">
        <f t="shared" si="88"/>
        <v>-3.2785810301301594E-5</v>
      </c>
    </row>
    <row r="193" spans="1:26" s="24" customFormat="1" hidden="1" outlineLevel="2" x14ac:dyDescent="0.25">
      <c r="A193" s="28"/>
      <c r="B193" s="11" t="str">
        <f>CONCATENATE("          ", "6273", " - ", "RENT")</f>
        <v xml:space="preserve">          6273 - RENT</v>
      </c>
      <c r="C193" s="11"/>
      <c r="D193" s="6">
        <v>6100</v>
      </c>
      <c r="E193" s="2"/>
      <c r="F193" s="7">
        <f t="shared" si="81"/>
        <v>3.5723900630632265E-2</v>
      </c>
      <c r="G193" s="2"/>
      <c r="H193" s="6">
        <v>6100</v>
      </c>
      <c r="I193" s="2"/>
      <c r="J193" s="7">
        <f t="shared" si="82"/>
        <v>1.2233151841490437E-2</v>
      </c>
      <c r="K193" s="2"/>
      <c r="L193" s="6">
        <f t="shared" si="83"/>
        <v>0</v>
      </c>
      <c r="M193" s="2"/>
      <c r="N193" s="7">
        <f t="shared" si="84"/>
        <v>0</v>
      </c>
      <c r="O193" s="11"/>
      <c r="P193" s="6">
        <v>30500</v>
      </c>
      <c r="Q193" s="2"/>
      <c r="R193" s="7">
        <f t="shared" si="85"/>
        <v>8.3313169270053857E-3</v>
      </c>
      <c r="S193" s="2"/>
      <c r="T193" s="6">
        <v>30501</v>
      </c>
      <c r="U193" s="2"/>
      <c r="V193" s="7">
        <f t="shared" si="86"/>
        <v>5.3608347442412026E-3</v>
      </c>
      <c r="W193" s="2"/>
      <c r="X193" s="6">
        <f t="shared" si="87"/>
        <v>-1</v>
      </c>
      <c r="Y193" s="2"/>
      <c r="Z193" s="7">
        <f t="shared" si="88"/>
        <v>-3.2785810301301594E-5</v>
      </c>
    </row>
    <row r="194" spans="1:26" s="29" customFormat="1" outlineLevel="1" collapsed="1" x14ac:dyDescent="0.25">
      <c r="A194" s="27"/>
      <c r="B194" s="14" t="str">
        <f>CONCATENATE("     ","Repair and Maintenance                            ")</f>
        <v xml:space="preserve">     Repair and Maintenance                            </v>
      </c>
      <c r="C194" s="14"/>
      <c r="D194" s="1">
        <f>SUM(OSRRefD22_16x_0)</f>
        <v>3234.7799999999997</v>
      </c>
      <c r="E194" s="1"/>
      <c r="F194" s="5">
        <f t="shared" si="81"/>
        <v>1.8944091685566662E-2</v>
      </c>
      <c r="G194" s="1"/>
      <c r="H194" s="1">
        <f>SUM(OSRRefH22_16x_0)</f>
        <v>10810</v>
      </c>
      <c r="I194" s="1"/>
      <c r="J194" s="5">
        <f t="shared" si="82"/>
        <v>2.1678749410903544E-2</v>
      </c>
      <c r="K194" s="1"/>
      <c r="L194" s="1">
        <f t="shared" si="83"/>
        <v>-7575.22</v>
      </c>
      <c r="M194" s="1"/>
      <c r="N194" s="5">
        <f t="shared" si="84"/>
        <v>-0.70076040703052733</v>
      </c>
      <c r="O194" s="14"/>
      <c r="P194" s="1">
        <f>SUM(OSRRefP22_16x_0)</f>
        <v>101179.15</v>
      </c>
      <c r="Q194" s="1"/>
      <c r="R194" s="5">
        <f t="shared" si="85"/>
        <v>2.7637887378853015E-2</v>
      </c>
      <c r="S194" s="1"/>
      <c r="T194" s="1">
        <f>SUM(OSRRefT22_16x_0)</f>
        <v>114255</v>
      </c>
      <c r="U194" s="1"/>
      <c r="V194" s="5">
        <f t="shared" si="86"/>
        <v>2.0081380076170569E-2</v>
      </c>
      <c r="W194" s="1"/>
      <c r="X194" s="1">
        <f t="shared" si="87"/>
        <v>-13075.850000000006</v>
      </c>
      <c r="Y194" s="1"/>
      <c r="Z194" s="5">
        <f t="shared" si="88"/>
        <v>-0.1144444444444445</v>
      </c>
    </row>
    <row r="195" spans="1:26" s="24" customFormat="1" hidden="1" outlineLevel="2" x14ac:dyDescent="0.25">
      <c r="A195" s="28"/>
      <c r="B195" s="11" t="str">
        <f>CONCATENATE("          ", "6371", " - ", "COMPUTER SOFTWARE MAINTENANCE")</f>
        <v xml:space="preserve">          6371 - COMPUTER SOFTWARE MAINTENANCE</v>
      </c>
      <c r="C195" s="11"/>
      <c r="D195" s="6"/>
      <c r="E195" s="2"/>
      <c r="F195" s="7">
        <f t="shared" si="81"/>
        <v>0</v>
      </c>
      <c r="G195" s="2"/>
      <c r="H195" s="6"/>
      <c r="I195" s="2"/>
      <c r="J195" s="7">
        <f t="shared" si="82"/>
        <v>0</v>
      </c>
      <c r="K195" s="2"/>
      <c r="L195" s="6">
        <f t="shared" si="83"/>
        <v>0</v>
      </c>
      <c r="M195" s="2"/>
      <c r="N195" s="7">
        <f t="shared" si="84"/>
        <v>0</v>
      </c>
      <c r="O195" s="11"/>
      <c r="P195" s="6">
        <v>58436.47</v>
      </c>
      <c r="Q195" s="2"/>
      <c r="R195" s="7">
        <f t="shared" si="85"/>
        <v>1.596238530050631E-2</v>
      </c>
      <c r="S195" s="2"/>
      <c r="T195" s="6">
        <v>45000</v>
      </c>
      <c r="U195" s="2"/>
      <c r="V195" s="7">
        <f t="shared" si="86"/>
        <v>7.9091689941593428E-3</v>
      </c>
      <c r="W195" s="2"/>
      <c r="X195" s="6">
        <f t="shared" si="87"/>
        <v>13436.470000000001</v>
      </c>
      <c r="Y195" s="2"/>
      <c r="Z195" s="7">
        <f t="shared" si="88"/>
        <v>0.29858822222222225</v>
      </c>
    </row>
    <row r="196" spans="1:26" s="24" customFormat="1" hidden="1" outlineLevel="2" x14ac:dyDescent="0.25">
      <c r="A196" s="28"/>
      <c r="B196" s="11" t="str">
        <f>CONCATENATE("          ", "6372", " - ", "COMPUTER HARDWARE MAINTENANCE")</f>
        <v xml:space="preserve">          6372 - COMPUTER HARDWARE MAINTENANCE</v>
      </c>
      <c r="C196" s="11"/>
      <c r="D196" s="6"/>
      <c r="E196" s="2"/>
      <c r="F196" s="7">
        <f t="shared" si="81"/>
        <v>0</v>
      </c>
      <c r="G196" s="2"/>
      <c r="H196" s="6"/>
      <c r="I196" s="2"/>
      <c r="J196" s="7">
        <f t="shared" si="82"/>
        <v>0</v>
      </c>
      <c r="K196" s="2"/>
      <c r="L196" s="6">
        <f t="shared" si="83"/>
        <v>0</v>
      </c>
      <c r="M196" s="2"/>
      <c r="N196" s="7">
        <f t="shared" si="84"/>
        <v>0</v>
      </c>
      <c r="O196" s="11"/>
      <c r="P196" s="6">
        <v>0</v>
      </c>
      <c r="Q196" s="2"/>
      <c r="R196" s="7">
        <f t="shared" si="85"/>
        <v>0</v>
      </c>
      <c r="S196" s="2"/>
      <c r="T196" s="6"/>
      <c r="U196" s="2"/>
      <c r="V196" s="7">
        <f t="shared" si="86"/>
        <v>0</v>
      </c>
      <c r="W196" s="2"/>
      <c r="X196" s="6">
        <f t="shared" si="87"/>
        <v>0</v>
      </c>
      <c r="Y196" s="2"/>
      <c r="Z196" s="7">
        <f t="shared" si="88"/>
        <v>0</v>
      </c>
    </row>
    <row r="197" spans="1:26" s="24" customFormat="1" hidden="1" outlineLevel="2" x14ac:dyDescent="0.25">
      <c r="A197" s="28"/>
      <c r="B197" s="11" t="str">
        <f>CONCATENATE("          ", "6373", " - ", "MAINTENANCE CONTRACTS")</f>
        <v xml:space="preserve">          6373 - MAINTENANCE CONTRACTS</v>
      </c>
      <c r="C197" s="11"/>
      <c r="D197" s="6">
        <v>440.29</v>
      </c>
      <c r="E197" s="2"/>
      <c r="F197" s="7">
        <f t="shared" si="81"/>
        <v>2.5785042965018167E-3</v>
      </c>
      <c r="G197" s="2"/>
      <c r="H197" s="6">
        <v>2440</v>
      </c>
      <c r="I197" s="2"/>
      <c r="J197" s="7">
        <f t="shared" si="82"/>
        <v>4.8932607365961747E-3</v>
      </c>
      <c r="K197" s="2"/>
      <c r="L197" s="6">
        <f t="shared" si="83"/>
        <v>-1999.71</v>
      </c>
      <c r="M197" s="2"/>
      <c r="N197" s="7">
        <f t="shared" si="84"/>
        <v>-0.81955327868852457</v>
      </c>
      <c r="O197" s="11"/>
      <c r="P197" s="6">
        <v>31026.01</v>
      </c>
      <c r="Q197" s="2"/>
      <c r="R197" s="7">
        <f t="shared" si="85"/>
        <v>8.4750007308340442E-3</v>
      </c>
      <c r="S197" s="2"/>
      <c r="T197" s="6">
        <v>26900</v>
      </c>
      <c r="U197" s="2"/>
      <c r="V197" s="7">
        <f t="shared" si="86"/>
        <v>4.7279254653974732E-3</v>
      </c>
      <c r="W197" s="2"/>
      <c r="X197" s="6">
        <f t="shared" si="87"/>
        <v>4126.0099999999984</v>
      </c>
      <c r="Y197" s="2"/>
      <c r="Z197" s="7">
        <f t="shared" si="88"/>
        <v>0.15338327137546462</v>
      </c>
    </row>
    <row r="198" spans="1:26" s="24" customFormat="1" hidden="1" outlineLevel="2" x14ac:dyDescent="0.25">
      <c r="A198" s="28"/>
      <c r="B198" s="11" t="str">
        <f>CONCATENATE("          ", "6375", " - ", "OUTSIDE REPAIRS &amp; MAINTENANCE")</f>
        <v xml:space="preserve">          6375 - OUTSIDE REPAIRS &amp; MAINTENANCE</v>
      </c>
      <c r="C198" s="11"/>
      <c r="D198" s="6">
        <v>2794.49</v>
      </c>
      <c r="E198" s="2"/>
      <c r="F198" s="7">
        <f t="shared" si="81"/>
        <v>1.6365587389064844E-2</v>
      </c>
      <c r="G198" s="2"/>
      <c r="H198" s="6">
        <v>8370</v>
      </c>
      <c r="I198" s="2"/>
      <c r="J198" s="7">
        <f t="shared" si="82"/>
        <v>1.6785488674307372E-2</v>
      </c>
      <c r="K198" s="2"/>
      <c r="L198" s="6">
        <f t="shared" si="83"/>
        <v>-5575.51</v>
      </c>
      <c r="M198" s="2"/>
      <c r="N198" s="7">
        <f t="shared" si="84"/>
        <v>-0.66613022700119473</v>
      </c>
      <c r="O198" s="11"/>
      <c r="P198" s="6">
        <v>11716.67</v>
      </c>
      <c r="Q198" s="2"/>
      <c r="R198" s="7">
        <f t="shared" si="85"/>
        <v>3.2005013475126624E-3</v>
      </c>
      <c r="S198" s="2"/>
      <c r="T198" s="6">
        <v>42355</v>
      </c>
      <c r="U198" s="2"/>
      <c r="V198" s="7">
        <f t="shared" si="86"/>
        <v>7.4442856166137541E-3</v>
      </c>
      <c r="W198" s="2"/>
      <c r="X198" s="6">
        <f t="shared" si="87"/>
        <v>-30638.33</v>
      </c>
      <c r="Y198" s="2"/>
      <c r="Z198" s="7">
        <f t="shared" si="88"/>
        <v>-0.72336985007673238</v>
      </c>
    </row>
    <row r="199" spans="1:26" s="29" customFormat="1" outlineLevel="1" collapsed="1" x14ac:dyDescent="0.25">
      <c r="A199" s="27"/>
      <c r="B199" s="14" t="str">
        <f>CONCATENATE("     ","Royalty &amp; Commissions                             ")</f>
        <v xml:space="preserve">     Royalty &amp; Commissions                             </v>
      </c>
      <c r="C199" s="14"/>
      <c r="D199" s="1">
        <f>SUM(OSRRefD22_17x_0)</f>
        <v>4453.09</v>
      </c>
      <c r="E199" s="1"/>
      <c r="F199" s="5">
        <f t="shared" ref="F199:F203" si="89">IF(D$12=0,0,D199/D$12)</f>
        <v>2.6078974534305285E-2</v>
      </c>
      <c r="G199" s="1"/>
      <c r="H199" s="1">
        <f>SUM(OSRRefH22_17x_0)</f>
        <v>7171</v>
      </c>
      <c r="I199" s="1"/>
      <c r="J199" s="5">
        <f t="shared" ref="J199:J203" si="90">IF(H$12=0,0,H199/H$12)</f>
        <v>1.438097243529966E-2</v>
      </c>
      <c r="K199" s="1"/>
      <c r="L199" s="1">
        <f t="shared" ref="L199:L203" si="91">+D199-H199</f>
        <v>-2717.91</v>
      </c>
      <c r="M199" s="1"/>
      <c r="N199" s="5">
        <f t="shared" ref="N199:N203" si="92">IF(H199=0,0,L199/H199)</f>
        <v>-0.37901408450704221</v>
      </c>
      <c r="O199" s="14"/>
      <c r="P199" s="1">
        <f>SUM(OSRRefP22_17x_0)</f>
        <v>28570.09</v>
      </c>
      <c r="Q199" s="1"/>
      <c r="R199" s="5">
        <f t="shared" ref="R199:R203" si="93">IF(P$12=0,0,P199/P$12)</f>
        <v>7.80414670239565E-3</v>
      </c>
      <c r="S199" s="1"/>
      <c r="T199" s="1">
        <f>SUM(OSRRefT22_17x_0)</f>
        <v>34805</v>
      </c>
      <c r="U199" s="1"/>
      <c r="V199" s="5">
        <f t="shared" ref="V199:V203" si="94">IF(T$12=0,0,T199/T$12)</f>
        <v>6.1173028187047982E-3</v>
      </c>
      <c r="W199" s="1"/>
      <c r="X199" s="1">
        <f t="shared" ref="X199:X203" si="95">+P199-T199</f>
        <v>-6234.91</v>
      </c>
      <c r="Y199" s="1"/>
      <c r="Z199" s="5">
        <f t="shared" ref="Z199:Z203" si="96">IF(T199=0,0,X199/T199)</f>
        <v>-0.17913834219221375</v>
      </c>
    </row>
    <row r="200" spans="1:26" s="24" customFormat="1" hidden="1" outlineLevel="2" x14ac:dyDescent="0.25">
      <c r="A200" s="28"/>
      <c r="B200" s="11" t="str">
        <f>CONCATENATE("          ", "6252", " - ", "ROYALTY DUE CSTV")</f>
        <v xml:space="preserve">          6252 - ROYALTY DUE CSTV</v>
      </c>
      <c r="C200" s="11"/>
      <c r="D200" s="6"/>
      <c r="E200" s="2"/>
      <c r="F200" s="7">
        <f t="shared" si="89"/>
        <v>0</v>
      </c>
      <c r="G200" s="2"/>
      <c r="H200" s="6">
        <v>1085</v>
      </c>
      <c r="I200" s="2"/>
      <c r="J200" s="7">
        <f t="shared" si="90"/>
        <v>2.1758966800028072E-3</v>
      </c>
      <c r="K200" s="2"/>
      <c r="L200" s="6">
        <f t="shared" si="91"/>
        <v>-1085</v>
      </c>
      <c r="M200" s="2"/>
      <c r="N200" s="7">
        <f t="shared" si="92"/>
        <v>-1</v>
      </c>
      <c r="O200" s="11"/>
      <c r="P200" s="6"/>
      <c r="Q200" s="2"/>
      <c r="R200" s="7">
        <f t="shared" si="93"/>
        <v>0</v>
      </c>
      <c r="S200" s="2"/>
      <c r="T200" s="6">
        <v>5425</v>
      </c>
      <c r="U200" s="2"/>
      <c r="V200" s="7">
        <f t="shared" si="94"/>
        <v>9.5349426207365405E-4</v>
      </c>
      <c r="W200" s="2"/>
      <c r="X200" s="6">
        <f t="shared" si="95"/>
        <v>-5425</v>
      </c>
      <c r="Y200" s="2"/>
      <c r="Z200" s="7">
        <f t="shared" si="96"/>
        <v>-1</v>
      </c>
    </row>
    <row r="201" spans="1:26" s="24" customFormat="1" hidden="1" outlineLevel="2" x14ac:dyDescent="0.25">
      <c r="A201" s="28"/>
      <c r="B201" s="11" t="str">
        <f>CONCATENATE("          ", "6253", " - ", "ROYALTY DUE ATHLETICS-LRG")</f>
        <v xml:space="preserve">          6253 - ROYALTY DUE ATHLETICS-LRG</v>
      </c>
      <c r="C201" s="11"/>
      <c r="D201" s="6"/>
      <c r="E201" s="2"/>
      <c r="F201" s="7">
        <f t="shared" si="89"/>
        <v>0</v>
      </c>
      <c r="G201" s="2"/>
      <c r="H201" s="6">
        <v>4037</v>
      </c>
      <c r="I201" s="2"/>
      <c r="J201" s="7">
        <f t="shared" si="90"/>
        <v>8.0959399973929338E-3</v>
      </c>
      <c r="K201" s="2"/>
      <c r="L201" s="6">
        <f t="shared" si="91"/>
        <v>-4037</v>
      </c>
      <c r="M201" s="2"/>
      <c r="N201" s="7">
        <f t="shared" si="92"/>
        <v>-1</v>
      </c>
      <c r="O201" s="11"/>
      <c r="P201" s="6">
        <v>18411.8</v>
      </c>
      <c r="Q201" s="2"/>
      <c r="R201" s="7">
        <f t="shared" si="93"/>
        <v>5.0293292130045167E-3</v>
      </c>
      <c r="S201" s="2"/>
      <c r="T201" s="6">
        <v>20185</v>
      </c>
      <c r="U201" s="2"/>
      <c r="V201" s="7">
        <f t="shared" si="94"/>
        <v>3.5477016921579185E-3</v>
      </c>
      <c r="W201" s="2"/>
      <c r="X201" s="6">
        <f t="shared" si="95"/>
        <v>-1773.2000000000007</v>
      </c>
      <c r="Y201" s="2"/>
      <c r="Z201" s="7">
        <f t="shared" si="96"/>
        <v>-8.7847411444141724E-2</v>
      </c>
    </row>
    <row r="202" spans="1:26" s="24" customFormat="1" hidden="1" outlineLevel="2" x14ac:dyDescent="0.25">
      <c r="A202" s="28"/>
      <c r="B202" s="11" t="str">
        <f>CONCATENATE("          ", "6254", " - ", "ROYALTY &amp; COMMISSIONS")</f>
        <v xml:space="preserve">          6254 - ROYALTY &amp; COMMISSIONS</v>
      </c>
      <c r="C202" s="11"/>
      <c r="D202" s="6"/>
      <c r="E202" s="2"/>
      <c r="F202" s="7">
        <f t="shared" si="89"/>
        <v>0</v>
      </c>
      <c r="G202" s="2"/>
      <c r="H202" s="6">
        <v>1149</v>
      </c>
      <c r="I202" s="2"/>
      <c r="J202" s="7">
        <f t="shared" si="90"/>
        <v>2.3042445026020511E-3</v>
      </c>
      <c r="K202" s="2"/>
      <c r="L202" s="6">
        <f t="shared" si="91"/>
        <v>-1149</v>
      </c>
      <c r="M202" s="2"/>
      <c r="N202" s="7">
        <f t="shared" si="92"/>
        <v>-1</v>
      </c>
      <c r="O202" s="11"/>
      <c r="P202" s="6"/>
      <c r="Q202" s="2"/>
      <c r="R202" s="7">
        <f t="shared" si="93"/>
        <v>0</v>
      </c>
      <c r="S202" s="2"/>
      <c r="T202" s="6">
        <v>5745</v>
      </c>
      <c r="U202" s="2"/>
      <c r="V202" s="7">
        <f t="shared" si="94"/>
        <v>1.009737241587676E-3</v>
      </c>
      <c r="W202" s="2"/>
      <c r="X202" s="6">
        <f t="shared" si="95"/>
        <v>-5745</v>
      </c>
      <c r="Y202" s="2"/>
      <c r="Z202" s="7">
        <f t="shared" si="96"/>
        <v>-1</v>
      </c>
    </row>
    <row r="203" spans="1:26" s="24" customFormat="1" hidden="1" outlineLevel="2" x14ac:dyDescent="0.25">
      <c r="A203" s="28"/>
      <c r="B203" s="11" t="str">
        <f>CONCATENATE("          ", "6259", " - ", "ROYALTY &amp; COMMISSIONS")</f>
        <v xml:space="preserve">          6259 - ROYALTY &amp; COMMISSIONS</v>
      </c>
      <c r="C203" s="11"/>
      <c r="D203" s="6">
        <v>4453.09</v>
      </c>
      <c r="E203" s="2"/>
      <c r="F203" s="7">
        <f t="shared" si="89"/>
        <v>2.6078974534305285E-2</v>
      </c>
      <c r="G203" s="2"/>
      <c r="H203" s="6">
        <v>900</v>
      </c>
      <c r="I203" s="2"/>
      <c r="J203" s="7">
        <f t="shared" si="90"/>
        <v>1.8048912553018678E-3</v>
      </c>
      <c r="K203" s="2"/>
      <c r="L203" s="6">
        <f t="shared" si="91"/>
        <v>3553.09</v>
      </c>
      <c r="M203" s="2"/>
      <c r="N203" s="7">
        <f t="shared" si="92"/>
        <v>3.9478777777777778</v>
      </c>
      <c r="O203" s="11"/>
      <c r="P203" s="6">
        <v>10158.290000000001</v>
      </c>
      <c r="Q203" s="2"/>
      <c r="R203" s="7">
        <f t="shared" si="93"/>
        <v>2.7748174893911328E-3</v>
      </c>
      <c r="S203" s="2"/>
      <c r="T203" s="6">
        <v>3450</v>
      </c>
      <c r="U203" s="2"/>
      <c r="V203" s="7">
        <f t="shared" si="94"/>
        <v>6.0636962288554961E-4</v>
      </c>
      <c r="W203" s="2"/>
      <c r="X203" s="6">
        <f t="shared" si="95"/>
        <v>6708.2900000000009</v>
      </c>
      <c r="Y203" s="2"/>
      <c r="Z203" s="7">
        <f t="shared" si="96"/>
        <v>1.9444318840579713</v>
      </c>
    </row>
    <row r="204" spans="1:26" s="29" customFormat="1" outlineLevel="1" collapsed="1" x14ac:dyDescent="0.25">
      <c r="A204" s="27"/>
      <c r="B204" s="14" t="str">
        <f>CONCATENATE("     ","Services                                          ")</f>
        <v xml:space="preserve">     Services                                          </v>
      </c>
      <c r="C204" s="14"/>
      <c r="D204" s="1">
        <f>SUM(OSRRefD22_18x_0)</f>
        <v>3898.5299999999997</v>
      </c>
      <c r="E204" s="1"/>
      <c r="F204" s="5">
        <f t="shared" ref="F204:F208" si="97">IF(D$12=0,0,D204/D$12)</f>
        <v>2.2831262020580133E-2</v>
      </c>
      <c r="G204" s="1"/>
      <c r="H204" s="1">
        <f>SUM(OSRRefH22_18x_0)</f>
        <v>4729</v>
      </c>
      <c r="I204" s="1"/>
      <c r="J204" s="5">
        <f t="shared" ref="J204:J208" si="98">IF(H$12=0,0,H204/H$12)</f>
        <v>9.4837008292472588E-3</v>
      </c>
      <c r="K204" s="1"/>
      <c r="L204" s="1">
        <f t="shared" ref="L204:L208" si="99">+D204-H204</f>
        <v>-830.47000000000025</v>
      </c>
      <c r="M204" s="1"/>
      <c r="N204" s="5">
        <f t="shared" ref="N204:N208" si="100">IF(H204=0,0,L204/H204)</f>
        <v>-0.17561218016493979</v>
      </c>
      <c r="O204" s="14"/>
      <c r="P204" s="1">
        <f>SUM(OSRRefP22_18x_0)</f>
        <v>16689.72</v>
      </c>
      <c r="Q204" s="1"/>
      <c r="R204" s="5">
        <f t="shared" ref="R204:R208" si="101">IF(P$12=0,0,P204/P$12)</f>
        <v>4.5589294014091912E-3</v>
      </c>
      <c r="S204" s="1"/>
      <c r="T204" s="1">
        <f>SUM(OSRRefT22_18x_0)</f>
        <v>23426</v>
      </c>
      <c r="U204" s="1"/>
      <c r="V204" s="5">
        <f t="shared" ref="V204:V208" si="102">IF(T$12=0,0,T204/T$12)</f>
        <v>4.117337619048372E-3</v>
      </c>
      <c r="W204" s="1"/>
      <c r="X204" s="1">
        <f t="shared" ref="X204:X208" si="103">+P204-T204</f>
        <v>-6736.2799999999988</v>
      </c>
      <c r="Y204" s="1"/>
      <c r="Z204" s="5">
        <f t="shared" ref="Z204:Z208" si="104">IF(T204=0,0,X204/T204)</f>
        <v>-0.2875557073337317</v>
      </c>
    </row>
    <row r="205" spans="1:26" s="24" customFormat="1" hidden="1" outlineLevel="2" x14ac:dyDescent="0.25">
      <c r="A205" s="28"/>
      <c r="B205" s="11" t="str">
        <f>CONCATENATE("          ", "6282", " - ", "JANITORIAL/EXTERMINATOR EXPENS")</f>
        <v xml:space="preserve">          6282 - JANITORIAL/EXTERMINATOR EXPENS</v>
      </c>
      <c r="C205" s="11"/>
      <c r="D205" s="6">
        <v>266.5</v>
      </c>
      <c r="E205" s="2"/>
      <c r="F205" s="7">
        <f t="shared" si="97"/>
        <v>1.5607245111579507E-3</v>
      </c>
      <c r="G205" s="2"/>
      <c r="H205" s="6">
        <v>4000</v>
      </c>
      <c r="I205" s="2"/>
      <c r="J205" s="7">
        <f t="shared" si="98"/>
        <v>8.0217389124527458E-3</v>
      </c>
      <c r="K205" s="2"/>
      <c r="L205" s="6">
        <f t="shared" si="99"/>
        <v>-3733.5</v>
      </c>
      <c r="M205" s="2"/>
      <c r="N205" s="7">
        <f t="shared" si="100"/>
        <v>-0.93337499999999995</v>
      </c>
      <c r="O205" s="11"/>
      <c r="P205" s="6">
        <v>5340.12</v>
      </c>
      <c r="Q205" s="2"/>
      <c r="R205" s="7">
        <f t="shared" si="101"/>
        <v>1.458696136007869E-3</v>
      </c>
      <c r="S205" s="2"/>
      <c r="T205" s="6">
        <v>20000</v>
      </c>
      <c r="U205" s="2"/>
      <c r="V205" s="7">
        <f t="shared" si="102"/>
        <v>3.5151862196263744E-3</v>
      </c>
      <c r="W205" s="2"/>
      <c r="X205" s="6">
        <f t="shared" si="103"/>
        <v>-14659.880000000001</v>
      </c>
      <c r="Y205" s="2"/>
      <c r="Z205" s="7">
        <f t="shared" si="104"/>
        <v>-0.73299400000000003</v>
      </c>
    </row>
    <row r="206" spans="1:26" s="24" customFormat="1" hidden="1" outlineLevel="2" x14ac:dyDescent="0.25">
      <c r="A206" s="28"/>
      <c r="B206" s="11" t="str">
        <f>CONCATENATE("          ", "6283", " - ", "PLANT SERVICE")</f>
        <v xml:space="preserve">          6283 - PLANT SERVICE</v>
      </c>
      <c r="C206" s="11"/>
      <c r="D206" s="6">
        <v>41.31</v>
      </c>
      <c r="E206" s="2"/>
      <c r="F206" s="7">
        <f t="shared" si="97"/>
        <v>2.4192694017236379E-4</v>
      </c>
      <c r="G206" s="2"/>
      <c r="H206" s="6">
        <v>0</v>
      </c>
      <c r="I206" s="2"/>
      <c r="J206" s="7">
        <f t="shared" si="98"/>
        <v>0</v>
      </c>
      <c r="K206" s="2"/>
      <c r="L206" s="6">
        <f t="shared" si="99"/>
        <v>41.31</v>
      </c>
      <c r="M206" s="2"/>
      <c r="N206" s="7">
        <f t="shared" si="100"/>
        <v>0</v>
      </c>
      <c r="O206" s="11"/>
      <c r="P206" s="6">
        <v>171.31</v>
      </c>
      <c r="Q206" s="2"/>
      <c r="R206" s="7">
        <f t="shared" si="101"/>
        <v>4.6794685336566976E-5</v>
      </c>
      <c r="S206" s="2"/>
      <c r="T206" s="6">
        <v>0</v>
      </c>
      <c r="U206" s="2"/>
      <c r="V206" s="7">
        <f t="shared" si="102"/>
        <v>0</v>
      </c>
      <c r="W206" s="2"/>
      <c r="X206" s="6">
        <f t="shared" si="103"/>
        <v>171.31</v>
      </c>
      <c r="Y206" s="2"/>
      <c r="Z206" s="7">
        <f t="shared" si="104"/>
        <v>0</v>
      </c>
    </row>
    <row r="207" spans="1:26" s="24" customFormat="1" hidden="1" outlineLevel="2" x14ac:dyDescent="0.25">
      <c r="A207" s="28"/>
      <c r="B207" s="11" t="str">
        <f>CONCATENATE("          ", "6284", " - ", "TRASH REMOVAL EXPENSE")</f>
        <v xml:space="preserve">          6284 - TRASH REMOVAL EXPENSE</v>
      </c>
      <c r="C207" s="11"/>
      <c r="D207" s="6"/>
      <c r="E207" s="2"/>
      <c r="F207" s="7">
        <f t="shared" si="97"/>
        <v>0</v>
      </c>
      <c r="G207" s="2"/>
      <c r="H207" s="6">
        <v>55</v>
      </c>
      <c r="I207" s="2"/>
      <c r="J207" s="7">
        <f t="shared" si="98"/>
        <v>1.1029891004622526E-4</v>
      </c>
      <c r="K207" s="2"/>
      <c r="L207" s="6">
        <f t="shared" si="99"/>
        <v>-55</v>
      </c>
      <c r="M207" s="2"/>
      <c r="N207" s="7">
        <f t="shared" si="100"/>
        <v>-1</v>
      </c>
      <c r="O207" s="11"/>
      <c r="P207" s="6">
        <v>585.29999999999995</v>
      </c>
      <c r="Q207" s="2"/>
      <c r="R207" s="7">
        <f t="shared" si="101"/>
        <v>1.5987933761889351E-4</v>
      </c>
      <c r="S207" s="2"/>
      <c r="T207" s="6">
        <v>330</v>
      </c>
      <c r="U207" s="2"/>
      <c r="V207" s="7">
        <f t="shared" si="102"/>
        <v>5.8000572623835176E-5</v>
      </c>
      <c r="W207" s="2"/>
      <c r="X207" s="6">
        <f t="shared" si="103"/>
        <v>255.29999999999995</v>
      </c>
      <c r="Y207" s="2"/>
      <c r="Z207" s="7">
        <f t="shared" si="104"/>
        <v>0.77363636363636346</v>
      </c>
    </row>
    <row r="208" spans="1:26" s="24" customFormat="1" hidden="1" outlineLevel="2" x14ac:dyDescent="0.25">
      <c r="A208" s="28"/>
      <c r="B208" s="11" t="str">
        <f>CONCATENATE("          ", "6285", " - ", "JANITORIAL SERVICES")</f>
        <v xml:space="preserve">          6285 - JANITORIAL SERVICES</v>
      </c>
      <c r="C208" s="11"/>
      <c r="D208" s="6">
        <v>3590.72</v>
      </c>
      <c r="E208" s="2"/>
      <c r="F208" s="7">
        <f t="shared" si="97"/>
        <v>2.1028610569249817E-2</v>
      </c>
      <c r="G208" s="2"/>
      <c r="H208" s="6">
        <v>674</v>
      </c>
      <c r="I208" s="2"/>
      <c r="J208" s="7">
        <f t="shared" si="98"/>
        <v>1.3516630067482876E-3</v>
      </c>
      <c r="K208" s="2"/>
      <c r="L208" s="6">
        <f t="shared" si="99"/>
        <v>2916.72</v>
      </c>
      <c r="M208" s="2"/>
      <c r="N208" s="7">
        <f t="shared" si="100"/>
        <v>4.3274777448071218</v>
      </c>
      <c r="O208" s="11"/>
      <c r="P208" s="6">
        <v>10592.99</v>
      </c>
      <c r="Q208" s="2"/>
      <c r="R208" s="7">
        <f t="shared" si="101"/>
        <v>2.893559242445862E-3</v>
      </c>
      <c r="S208" s="2"/>
      <c r="T208" s="6">
        <v>3096</v>
      </c>
      <c r="U208" s="2"/>
      <c r="V208" s="7">
        <f t="shared" si="102"/>
        <v>5.4415082679816278E-4</v>
      </c>
      <c r="W208" s="2"/>
      <c r="X208" s="6">
        <f t="shared" si="103"/>
        <v>7496.99</v>
      </c>
      <c r="Y208" s="2"/>
      <c r="Z208" s="7">
        <f t="shared" si="104"/>
        <v>2.4215083979328162</v>
      </c>
    </row>
    <row r="209" spans="1:26" s="29" customFormat="1" outlineLevel="1" collapsed="1" x14ac:dyDescent="0.25">
      <c r="A209" s="27"/>
      <c r="B209" s="14" t="str">
        <f>CONCATENATE("     ","Subscriptions &amp; Dues                              ")</f>
        <v xml:space="preserve">     Subscriptions &amp; Dues                              </v>
      </c>
      <c r="C209" s="14"/>
      <c r="D209" s="1">
        <f>SUM(OSRRefD22_19x_0)</f>
        <v>-274.08</v>
      </c>
      <c r="E209" s="1"/>
      <c r="F209" s="5">
        <f t="shared" ref="F209:F211" si="105">IF(D$12=0,0,D209/D$12)</f>
        <v>-1.6051158499743757E-3</v>
      </c>
      <c r="G209" s="1"/>
      <c r="H209" s="1">
        <f>SUM(OSRRefH22_19x_0)</f>
        <v>1100</v>
      </c>
      <c r="I209" s="1"/>
      <c r="J209" s="5">
        <f t="shared" ref="J209:J211" si="106">IF(H$12=0,0,H209/H$12)</f>
        <v>2.2059782009245053E-3</v>
      </c>
      <c r="K209" s="1"/>
      <c r="L209" s="1">
        <f t="shared" ref="L209:L211" si="107">+D209-H209</f>
        <v>-1374.08</v>
      </c>
      <c r="M209" s="1"/>
      <c r="N209" s="5">
        <f t="shared" ref="N209:N211" si="108">IF(H209=0,0,L209/H209)</f>
        <v>-1.2491636363636363</v>
      </c>
      <c r="O209" s="14"/>
      <c r="P209" s="1">
        <f>SUM(OSRRefP22_19x_0)</f>
        <v>1375.01</v>
      </c>
      <c r="Q209" s="1"/>
      <c r="R209" s="5">
        <f t="shared" ref="R209:R211" si="109">IF(P$12=0,0,P209/P$12)</f>
        <v>3.755948881246451E-4</v>
      </c>
      <c r="S209" s="1"/>
      <c r="T209" s="1">
        <f>SUM(OSRRefT22_19x_0)</f>
        <v>6895</v>
      </c>
      <c r="U209" s="1"/>
      <c r="V209" s="5">
        <f t="shared" ref="V209:V211" si="110">IF(T$12=0,0,T209/T$12)</f>
        <v>1.2118604492161926E-3</v>
      </c>
      <c r="W209" s="1"/>
      <c r="X209" s="1">
        <f t="shared" ref="X209:X211" si="111">+P209-T209</f>
        <v>-5519.99</v>
      </c>
      <c r="Y209" s="1"/>
      <c r="Z209" s="5">
        <f t="shared" ref="Z209:Z211" si="112">IF(T209=0,0,X209/T209)</f>
        <v>-0.80057868020304568</v>
      </c>
    </row>
    <row r="210" spans="1:26" s="24" customFormat="1" hidden="1" outlineLevel="2" x14ac:dyDescent="0.25">
      <c r="A210" s="28"/>
      <c r="B210" s="11" t="str">
        <f>CONCATENATE("          ", "6258", " - ", "MEMBERSHIP DUES")</f>
        <v xml:space="preserve">          6258 - MEMBERSHIP DUES</v>
      </c>
      <c r="C210" s="11"/>
      <c r="D210" s="6">
        <v>-274.08</v>
      </c>
      <c r="E210" s="2"/>
      <c r="F210" s="7">
        <f t="shared" si="105"/>
        <v>-1.6051158499743757E-3</v>
      </c>
      <c r="G210" s="2"/>
      <c r="H210" s="6">
        <v>1100</v>
      </c>
      <c r="I210" s="2"/>
      <c r="J210" s="7">
        <f t="shared" si="106"/>
        <v>2.2059782009245053E-3</v>
      </c>
      <c r="K210" s="2"/>
      <c r="L210" s="6">
        <f t="shared" si="107"/>
        <v>-1374.08</v>
      </c>
      <c r="M210" s="2"/>
      <c r="N210" s="7">
        <f t="shared" si="108"/>
        <v>-1.2491636363636363</v>
      </c>
      <c r="O210" s="11"/>
      <c r="P210" s="6">
        <v>1149.28</v>
      </c>
      <c r="Q210" s="2"/>
      <c r="R210" s="7">
        <f t="shared" si="109"/>
        <v>3.1393494812684427E-4</v>
      </c>
      <c r="S210" s="2"/>
      <c r="T210" s="6">
        <v>6895</v>
      </c>
      <c r="U210" s="2"/>
      <c r="V210" s="7">
        <f t="shared" si="110"/>
        <v>1.2118604492161926E-3</v>
      </c>
      <c r="W210" s="2"/>
      <c r="X210" s="6">
        <f t="shared" si="111"/>
        <v>-5745.72</v>
      </c>
      <c r="Y210" s="2"/>
      <c r="Z210" s="7">
        <f t="shared" si="112"/>
        <v>-0.83331689630166794</v>
      </c>
    </row>
    <row r="211" spans="1:26" s="24" customFormat="1" hidden="1" outlineLevel="2" x14ac:dyDescent="0.25">
      <c r="A211" s="28"/>
      <c r="B211" s="11" t="str">
        <f>CONCATENATE("          ", "6275", " - ", "SUBSCRIPTIONS")</f>
        <v xml:space="preserve">          6275 - SUBSCRIPTIONS</v>
      </c>
      <c r="C211" s="11"/>
      <c r="D211" s="6"/>
      <c r="E211" s="2"/>
      <c r="F211" s="7">
        <f t="shared" si="105"/>
        <v>0</v>
      </c>
      <c r="G211" s="2"/>
      <c r="H211" s="6">
        <v>0</v>
      </c>
      <c r="I211" s="2"/>
      <c r="J211" s="7">
        <f t="shared" si="106"/>
        <v>0</v>
      </c>
      <c r="K211" s="2"/>
      <c r="L211" s="6">
        <f t="shared" si="107"/>
        <v>0</v>
      </c>
      <c r="M211" s="2"/>
      <c r="N211" s="7">
        <f t="shared" si="108"/>
        <v>0</v>
      </c>
      <c r="O211" s="11"/>
      <c r="P211" s="6">
        <v>225.73</v>
      </c>
      <c r="Q211" s="2"/>
      <c r="R211" s="7">
        <f t="shared" si="109"/>
        <v>6.1659939997800843E-5</v>
      </c>
      <c r="S211" s="2"/>
      <c r="T211" s="6">
        <v>0</v>
      </c>
      <c r="U211" s="2"/>
      <c r="V211" s="7">
        <f t="shared" si="110"/>
        <v>0</v>
      </c>
      <c r="W211" s="2"/>
      <c r="X211" s="6">
        <f t="shared" si="111"/>
        <v>225.73</v>
      </c>
      <c r="Y211" s="2"/>
      <c r="Z211" s="7">
        <f t="shared" si="112"/>
        <v>0</v>
      </c>
    </row>
    <row r="212" spans="1:26" s="29" customFormat="1" outlineLevel="1" collapsed="1" x14ac:dyDescent="0.25">
      <c r="A212" s="27"/>
      <c r="B212" s="14" t="str">
        <f>CONCATENATE("     ","Supplies                                          ")</f>
        <v xml:space="preserve">     Supplies                                          </v>
      </c>
      <c r="C212" s="14"/>
      <c r="D212" s="1">
        <f>SUM(OSRRefD22_20x_0)</f>
        <v>14973.19</v>
      </c>
      <c r="E212" s="1"/>
      <c r="F212" s="5">
        <f t="shared" ref="F212:F221" si="113">IF(D$12=0,0,D212/D$12)</f>
        <v>8.7688647816979798E-2</v>
      </c>
      <c r="G212" s="1"/>
      <c r="H212" s="1">
        <f>SUM(OSRRefH22_20x_0)</f>
        <v>7020</v>
      </c>
      <c r="I212" s="1"/>
      <c r="J212" s="5">
        <f t="shared" ref="J212:J221" si="114">IF(H$12=0,0,H212/H$12)</f>
        <v>1.4078151791354569E-2</v>
      </c>
      <c r="K212" s="1"/>
      <c r="L212" s="1">
        <f t="shared" ref="L212:L221" si="115">+D212-H212</f>
        <v>7953.1900000000005</v>
      </c>
      <c r="M212" s="1"/>
      <c r="N212" s="5">
        <f t="shared" ref="N212:N221" si="116">IF(H212=0,0,L212/H212)</f>
        <v>1.1329330484330484</v>
      </c>
      <c r="O212" s="14"/>
      <c r="P212" s="1">
        <f>SUM(OSRRefP22_20x_0)</f>
        <v>73096.63</v>
      </c>
      <c r="Q212" s="1"/>
      <c r="R212" s="5">
        <f t="shared" ref="R212:R221" si="117">IF(P$12=0,0,P212/P$12)</f>
        <v>1.9966924289378681E-2</v>
      </c>
      <c r="S212" s="1"/>
      <c r="T212" s="1">
        <f>SUM(OSRRefT22_20x_0)</f>
        <v>97150</v>
      </c>
      <c r="U212" s="1"/>
      <c r="V212" s="5">
        <f t="shared" ref="V212:V221" si="118">IF(T$12=0,0,T212/T$12)</f>
        <v>1.7075017061835115E-2</v>
      </c>
      <c r="W212" s="1"/>
      <c r="X212" s="1">
        <f t="shared" ref="X212:X221" si="119">+P212-T212</f>
        <v>-24053.369999999995</v>
      </c>
      <c r="Y212" s="1"/>
      <c r="Z212" s="5">
        <f t="shared" ref="Z212:Z221" si="120">IF(T212=0,0,X212/T212)</f>
        <v>-0.24759001544004114</v>
      </c>
    </row>
    <row r="213" spans="1:26" s="24" customFormat="1" hidden="1" outlineLevel="2" x14ac:dyDescent="0.25">
      <c r="A213" s="28"/>
      <c r="B213" s="11" t="str">
        <f>CONCATENATE("          ", "6234", " - ", "EXPENDABLE SUPPLIES &amp; EQUIPMEN")</f>
        <v xml:space="preserve">          6234 - EXPENDABLE SUPPLIES &amp; EQUIPMEN</v>
      </c>
      <c r="C213" s="11"/>
      <c r="D213" s="6">
        <v>-550.67999999999995</v>
      </c>
      <c r="E213" s="2"/>
      <c r="F213" s="7">
        <f t="shared" si="113"/>
        <v>-3.224989770373209E-3</v>
      </c>
      <c r="G213" s="2"/>
      <c r="H213" s="6">
        <v>150</v>
      </c>
      <c r="I213" s="2"/>
      <c r="J213" s="7">
        <f t="shared" si="114"/>
        <v>3.0081520921697796E-4</v>
      </c>
      <c r="K213" s="2"/>
      <c r="L213" s="6">
        <f t="shared" si="115"/>
        <v>-700.68</v>
      </c>
      <c r="M213" s="2"/>
      <c r="N213" s="7">
        <f t="shared" si="116"/>
        <v>-4.6711999999999998</v>
      </c>
      <c r="O213" s="11"/>
      <c r="P213" s="6">
        <v>-449.34</v>
      </c>
      <c r="Q213" s="2"/>
      <c r="R213" s="7">
        <f t="shared" si="117"/>
        <v>-1.2274078517969181E-4</v>
      </c>
      <c r="S213" s="2"/>
      <c r="T213" s="6">
        <v>750</v>
      </c>
      <c r="U213" s="2"/>
      <c r="V213" s="7">
        <f t="shared" si="118"/>
        <v>1.3181948323598904E-4</v>
      </c>
      <c r="W213" s="2"/>
      <c r="X213" s="6">
        <f t="shared" si="119"/>
        <v>-1199.3399999999999</v>
      </c>
      <c r="Y213" s="2"/>
      <c r="Z213" s="7">
        <f t="shared" si="120"/>
        <v>-1.5991199999999999</v>
      </c>
    </row>
    <row r="214" spans="1:26" s="24" customFormat="1" hidden="1" outlineLevel="2" x14ac:dyDescent="0.25">
      <c r="A214" s="28"/>
      <c r="B214" s="11" t="str">
        <f>CONCATENATE("          ", "6235", " - ", "COVID-19 EXPENSES")</f>
        <v xml:space="preserve">          6235 - COVID-19 EXPENSES</v>
      </c>
      <c r="C214" s="11"/>
      <c r="D214" s="6">
        <v>2556.84</v>
      </c>
      <c r="E214" s="2"/>
      <c r="F214" s="7">
        <f t="shared" si="113"/>
        <v>1.497381935875833E-2</v>
      </c>
      <c r="G214" s="2"/>
      <c r="H214" s="6">
        <v>500</v>
      </c>
      <c r="I214" s="2"/>
      <c r="J214" s="7">
        <f t="shared" si="114"/>
        <v>1.0027173640565932E-3</v>
      </c>
      <c r="K214" s="2"/>
      <c r="L214" s="6">
        <f t="shared" si="115"/>
        <v>2056.84</v>
      </c>
      <c r="M214" s="2"/>
      <c r="N214" s="7">
        <f t="shared" si="116"/>
        <v>4.1136800000000004</v>
      </c>
      <c r="O214" s="11"/>
      <c r="P214" s="6">
        <v>29124.75</v>
      </c>
      <c r="Q214" s="2"/>
      <c r="R214" s="7">
        <f t="shared" si="117"/>
        <v>7.9556564809770535E-3</v>
      </c>
      <c r="S214" s="2"/>
      <c r="T214" s="6">
        <v>62100</v>
      </c>
      <c r="U214" s="2"/>
      <c r="V214" s="7">
        <f t="shared" si="118"/>
        <v>1.0914653211939893E-2</v>
      </c>
      <c r="W214" s="2"/>
      <c r="X214" s="6">
        <f t="shared" si="119"/>
        <v>-32975.25</v>
      </c>
      <c r="Y214" s="2"/>
      <c r="Z214" s="7">
        <f t="shared" si="120"/>
        <v>-0.53100241545893723</v>
      </c>
    </row>
    <row r="215" spans="1:26" s="24" customFormat="1" hidden="1" outlineLevel="2" x14ac:dyDescent="0.25">
      <c r="A215" s="28"/>
      <c r="B215" s="11" t="str">
        <f>CONCATENATE("          ", "6237", " - ", "JANITORIAL SUPPLIES")</f>
        <v xml:space="preserve">          6237 - JANITORIAL SUPPLIES</v>
      </c>
      <c r="C215" s="11"/>
      <c r="D215" s="6">
        <v>246.99</v>
      </c>
      <c r="E215" s="2"/>
      <c r="F215" s="7">
        <f t="shared" si="113"/>
        <v>1.4464665929114532E-3</v>
      </c>
      <c r="G215" s="2"/>
      <c r="H215" s="6">
        <v>260</v>
      </c>
      <c r="I215" s="2"/>
      <c r="J215" s="7">
        <f t="shared" si="114"/>
        <v>5.2141302930942845E-4</v>
      </c>
      <c r="K215" s="2"/>
      <c r="L215" s="6">
        <f t="shared" si="115"/>
        <v>-13.009999999999991</v>
      </c>
      <c r="M215" s="2"/>
      <c r="N215" s="7">
        <f t="shared" si="116"/>
        <v>-5.0038461538461504E-2</v>
      </c>
      <c r="O215" s="11"/>
      <c r="P215" s="6">
        <v>1495.35</v>
      </c>
      <c r="Q215" s="2"/>
      <c r="R215" s="7">
        <f t="shared" si="117"/>
        <v>4.084667136654919E-4</v>
      </c>
      <c r="S215" s="2"/>
      <c r="T215" s="6">
        <v>1350</v>
      </c>
      <c r="U215" s="2"/>
      <c r="V215" s="7">
        <f t="shared" si="118"/>
        <v>2.3727506982478027E-4</v>
      </c>
      <c r="W215" s="2"/>
      <c r="X215" s="6">
        <f t="shared" si="119"/>
        <v>145.34999999999991</v>
      </c>
      <c r="Y215" s="2"/>
      <c r="Z215" s="7">
        <f t="shared" si="120"/>
        <v>0.10766666666666661</v>
      </c>
    </row>
    <row r="216" spans="1:26" s="24" customFormat="1" hidden="1" outlineLevel="2" x14ac:dyDescent="0.25">
      <c r="A216" s="28"/>
      <c r="B216" s="11" t="str">
        <f>CONCATENATE("          ", "6241", " - ", "OFFICE EXPENSE")</f>
        <v xml:space="preserve">          6241 - OFFICE EXPENSE</v>
      </c>
      <c r="C216" s="11"/>
      <c r="D216" s="6">
        <v>845.39</v>
      </c>
      <c r="E216" s="2"/>
      <c r="F216" s="7">
        <f t="shared" si="113"/>
        <v>4.9509226810049529E-3</v>
      </c>
      <c r="G216" s="2"/>
      <c r="H216" s="6">
        <v>535</v>
      </c>
      <c r="I216" s="2"/>
      <c r="J216" s="7">
        <f t="shared" si="114"/>
        <v>1.0729075795405548E-3</v>
      </c>
      <c r="K216" s="2"/>
      <c r="L216" s="6">
        <f t="shared" si="115"/>
        <v>310.39</v>
      </c>
      <c r="M216" s="2"/>
      <c r="N216" s="7">
        <f t="shared" si="116"/>
        <v>0.58016822429906545</v>
      </c>
      <c r="O216" s="11"/>
      <c r="P216" s="6">
        <v>9511.4500000000007</v>
      </c>
      <c r="Q216" s="2"/>
      <c r="R216" s="7">
        <f t="shared" si="117"/>
        <v>2.5981280126349308E-3</v>
      </c>
      <c r="S216" s="2"/>
      <c r="T216" s="6">
        <v>2975</v>
      </c>
      <c r="U216" s="2"/>
      <c r="V216" s="7">
        <f t="shared" si="118"/>
        <v>5.228839501694232E-4</v>
      </c>
      <c r="W216" s="2"/>
      <c r="X216" s="6">
        <f t="shared" si="119"/>
        <v>6536.4500000000007</v>
      </c>
      <c r="Y216" s="2"/>
      <c r="Z216" s="7">
        <f t="shared" si="120"/>
        <v>2.1971260504201684</v>
      </c>
    </row>
    <row r="217" spans="1:26" s="24" customFormat="1" hidden="1" outlineLevel="2" x14ac:dyDescent="0.25">
      <c r="A217" s="28"/>
      <c r="B217" s="11" t="str">
        <f>CONCATENATE("          ", "6243", " - ", "PAPER SUPPLIES")</f>
        <v xml:space="preserve">          6243 - PAPER SUPPLIES</v>
      </c>
      <c r="C217" s="11"/>
      <c r="D217" s="6">
        <v>1108.5999999999999</v>
      </c>
      <c r="E217" s="2"/>
      <c r="F217" s="7">
        <f t="shared" si="113"/>
        <v>6.4923797113309719E-3</v>
      </c>
      <c r="G217" s="2"/>
      <c r="H217" s="6">
        <v>1050</v>
      </c>
      <c r="I217" s="2"/>
      <c r="J217" s="7">
        <f t="shared" si="114"/>
        <v>2.1057064645188459E-3</v>
      </c>
      <c r="K217" s="2"/>
      <c r="L217" s="6">
        <f t="shared" si="115"/>
        <v>58.599999999999909</v>
      </c>
      <c r="M217" s="2"/>
      <c r="N217" s="7">
        <f t="shared" si="116"/>
        <v>5.5809523809523726E-2</v>
      </c>
      <c r="O217" s="11"/>
      <c r="P217" s="6">
        <v>4682.3</v>
      </c>
      <c r="Q217" s="2"/>
      <c r="R217" s="7">
        <f t="shared" si="117"/>
        <v>1.279007385157945E-3</v>
      </c>
      <c r="S217" s="2"/>
      <c r="T217" s="6">
        <v>5350</v>
      </c>
      <c r="U217" s="2"/>
      <c r="V217" s="7">
        <f t="shared" si="118"/>
        <v>9.4031231375005513E-4</v>
      </c>
      <c r="W217" s="2"/>
      <c r="X217" s="6">
        <f t="shared" si="119"/>
        <v>-667.69999999999982</v>
      </c>
      <c r="Y217" s="2"/>
      <c r="Z217" s="7">
        <f t="shared" si="120"/>
        <v>-0.12480373831775697</v>
      </c>
    </row>
    <row r="218" spans="1:26" s="24" customFormat="1" hidden="1" outlineLevel="2" x14ac:dyDescent="0.25">
      <c r="A218" s="28"/>
      <c r="B218" s="11" t="str">
        <f>CONCATENATE("          ", "6244", " - ", "SAFETY SUPPLY EXPENSE")</f>
        <v xml:space="preserve">          6244 - SAFETY SUPPLY EXPENSE</v>
      </c>
      <c r="C218" s="11"/>
      <c r="D218" s="6"/>
      <c r="E218" s="2"/>
      <c r="F218" s="7">
        <f t="shared" si="113"/>
        <v>0</v>
      </c>
      <c r="G218" s="2"/>
      <c r="H218" s="6">
        <v>0</v>
      </c>
      <c r="I218" s="2"/>
      <c r="J218" s="7">
        <f t="shared" si="114"/>
        <v>0</v>
      </c>
      <c r="K218" s="2"/>
      <c r="L218" s="6">
        <f t="shared" si="115"/>
        <v>0</v>
      </c>
      <c r="M218" s="2"/>
      <c r="N218" s="7">
        <f t="shared" si="116"/>
        <v>0</v>
      </c>
      <c r="O218" s="11"/>
      <c r="P218" s="6"/>
      <c r="Q218" s="2"/>
      <c r="R218" s="7">
        <f t="shared" si="117"/>
        <v>0</v>
      </c>
      <c r="S218" s="2"/>
      <c r="T218" s="6">
        <v>50</v>
      </c>
      <c r="U218" s="2"/>
      <c r="V218" s="7">
        <f t="shared" si="118"/>
        <v>8.7879655490659354E-6</v>
      </c>
      <c r="W218" s="2"/>
      <c r="X218" s="6">
        <f t="shared" si="119"/>
        <v>-50</v>
      </c>
      <c r="Y218" s="2"/>
      <c r="Z218" s="7">
        <f t="shared" si="120"/>
        <v>-1</v>
      </c>
    </row>
    <row r="219" spans="1:26" s="24" customFormat="1" hidden="1" outlineLevel="2" x14ac:dyDescent="0.25">
      <c r="A219" s="28"/>
      <c r="B219" s="11" t="str">
        <f>CONCATENATE("          ", "6245", " - ", "PRINTING")</f>
        <v xml:space="preserve">          6245 - PRINTING</v>
      </c>
      <c r="C219" s="11"/>
      <c r="D219" s="6">
        <v>93.72</v>
      </c>
      <c r="E219" s="2"/>
      <c r="F219" s="7">
        <f t="shared" si="113"/>
        <v>5.4885966673817309E-4</v>
      </c>
      <c r="G219" s="2"/>
      <c r="H219" s="6">
        <v>350</v>
      </c>
      <c r="I219" s="2"/>
      <c r="J219" s="7">
        <f t="shared" si="114"/>
        <v>7.0190215483961532E-4</v>
      </c>
      <c r="K219" s="2"/>
      <c r="L219" s="6">
        <f t="shared" si="115"/>
        <v>-256.27999999999997</v>
      </c>
      <c r="M219" s="2"/>
      <c r="N219" s="7">
        <f t="shared" si="116"/>
        <v>-0.73222857142857134</v>
      </c>
      <c r="O219" s="11"/>
      <c r="P219" s="6">
        <v>508.27</v>
      </c>
      <c r="Q219" s="2"/>
      <c r="R219" s="7">
        <f t="shared" si="117"/>
        <v>1.3883798211439434E-4</v>
      </c>
      <c r="S219" s="2"/>
      <c r="T219" s="6">
        <v>2150</v>
      </c>
      <c r="U219" s="2"/>
      <c r="V219" s="7">
        <f t="shared" si="118"/>
        <v>3.7788251860983526E-4</v>
      </c>
      <c r="W219" s="2"/>
      <c r="X219" s="6">
        <f t="shared" si="119"/>
        <v>-1641.73</v>
      </c>
      <c r="Y219" s="2"/>
      <c r="Z219" s="7">
        <f t="shared" si="120"/>
        <v>-0.76359534883720936</v>
      </c>
    </row>
    <row r="220" spans="1:26" s="24" customFormat="1" hidden="1" outlineLevel="2" x14ac:dyDescent="0.25">
      <c r="A220" s="28"/>
      <c r="B220" s="11" t="str">
        <f>CONCATENATE("          ", "6247", " - ", "STORE SUPPLIES")</f>
        <v xml:space="preserve">          6247 - STORE SUPPLIES</v>
      </c>
      <c r="C220" s="11"/>
      <c r="D220" s="6">
        <v>10672.33</v>
      </c>
      <c r="E220" s="2"/>
      <c r="F220" s="7">
        <f t="shared" si="113"/>
        <v>6.250118957660912E-2</v>
      </c>
      <c r="G220" s="2"/>
      <c r="H220" s="6">
        <v>2675</v>
      </c>
      <c r="I220" s="2"/>
      <c r="J220" s="7">
        <f t="shared" si="114"/>
        <v>5.364537897702774E-3</v>
      </c>
      <c r="K220" s="2"/>
      <c r="L220" s="6">
        <f t="shared" si="115"/>
        <v>7997.33</v>
      </c>
      <c r="M220" s="2"/>
      <c r="N220" s="7">
        <f t="shared" si="116"/>
        <v>2.989656074766355</v>
      </c>
      <c r="O220" s="11"/>
      <c r="P220" s="6">
        <v>28223.85</v>
      </c>
      <c r="Q220" s="2"/>
      <c r="R220" s="7">
        <f t="shared" si="117"/>
        <v>7.7095685000085562E-3</v>
      </c>
      <c r="S220" s="2"/>
      <c r="T220" s="6">
        <v>14825</v>
      </c>
      <c r="U220" s="2"/>
      <c r="V220" s="7">
        <f t="shared" si="118"/>
        <v>2.6056317852980499E-3</v>
      </c>
      <c r="W220" s="2"/>
      <c r="X220" s="6">
        <f t="shared" si="119"/>
        <v>13398.849999999999</v>
      </c>
      <c r="Y220" s="2"/>
      <c r="Z220" s="7">
        <f t="shared" si="120"/>
        <v>0.90380101180438444</v>
      </c>
    </row>
    <row r="221" spans="1:26" s="24" customFormat="1" hidden="1" outlineLevel="2" x14ac:dyDescent="0.25">
      <c r="A221" s="28"/>
      <c r="B221" s="11" t="str">
        <f>CONCATENATE("          ", "6248", " - ", "UNIFORMS")</f>
        <v xml:space="preserve">          6248 - UNIFORMS</v>
      </c>
      <c r="C221" s="11"/>
      <c r="D221" s="6"/>
      <c r="E221" s="2"/>
      <c r="F221" s="7">
        <f t="shared" si="113"/>
        <v>0</v>
      </c>
      <c r="G221" s="2"/>
      <c r="H221" s="6">
        <v>1500</v>
      </c>
      <c r="I221" s="2"/>
      <c r="J221" s="7">
        <f t="shared" si="114"/>
        <v>3.0081520921697797E-3</v>
      </c>
      <c r="K221" s="2"/>
      <c r="L221" s="6">
        <f t="shared" si="115"/>
        <v>-1500</v>
      </c>
      <c r="M221" s="2"/>
      <c r="N221" s="7">
        <f t="shared" si="116"/>
        <v>-1</v>
      </c>
      <c r="O221" s="11"/>
      <c r="P221" s="6"/>
      <c r="Q221" s="2"/>
      <c r="R221" s="7">
        <f t="shared" si="117"/>
        <v>0</v>
      </c>
      <c r="S221" s="2"/>
      <c r="T221" s="6">
        <v>7600</v>
      </c>
      <c r="U221" s="2"/>
      <c r="V221" s="7">
        <f t="shared" si="118"/>
        <v>1.3357707634580223E-3</v>
      </c>
      <c r="W221" s="2"/>
      <c r="X221" s="6">
        <f t="shared" si="119"/>
        <v>-7600</v>
      </c>
      <c r="Y221" s="2"/>
      <c r="Z221" s="7">
        <f t="shared" si="120"/>
        <v>-1</v>
      </c>
    </row>
    <row r="222" spans="1:26" s="29" customFormat="1" outlineLevel="1" collapsed="1" x14ac:dyDescent="0.25">
      <c r="A222" s="27"/>
      <c r="B222" s="14" t="str">
        <f>CONCATENATE("     ","Telephone/Data Lines                              ")</f>
        <v xml:space="preserve">     Telephone/Data Lines                              </v>
      </c>
      <c r="C222" s="14"/>
      <c r="D222" s="1">
        <f>SUM(OSRRefD22_21x_0)</f>
        <v>2981.03</v>
      </c>
      <c r="E222" s="1"/>
      <c r="F222" s="5">
        <f t="shared" ref="F222:F224" si="121">IF(D$12=0,0,D222/D$12)</f>
        <v>1.7458035983103887E-2</v>
      </c>
      <c r="G222" s="1"/>
      <c r="H222" s="1">
        <f>SUM(OSRRefH22_21x_0)</f>
        <v>2545</v>
      </c>
      <c r="I222" s="1"/>
      <c r="J222" s="5">
        <f t="shared" ref="J222:J224" si="122">IF(H$12=0,0,H222/H$12)</f>
        <v>5.1038313830480599E-3</v>
      </c>
      <c r="K222" s="1"/>
      <c r="L222" s="1">
        <f t="shared" ref="L222:L224" si="123">+D222-H222</f>
        <v>436.0300000000002</v>
      </c>
      <c r="M222" s="1"/>
      <c r="N222" s="5">
        <f t="shared" ref="N222:N224" si="124">IF(H222=0,0,L222/H222)</f>
        <v>0.17132809430255411</v>
      </c>
      <c r="O222" s="14"/>
      <c r="P222" s="1">
        <f>SUM(OSRRefP22_21x_0)</f>
        <v>14627</v>
      </c>
      <c r="Q222" s="1"/>
      <c r="R222" s="5">
        <f t="shared" ref="R222:R224" si="125">IF(P$12=0,0,P222/P$12)</f>
        <v>3.995481071846157E-3</v>
      </c>
      <c r="S222" s="1"/>
      <c r="T222" s="1">
        <f>SUM(OSRRefT22_21x_0)</f>
        <v>14235</v>
      </c>
      <c r="U222" s="1"/>
      <c r="V222" s="5">
        <f t="shared" ref="V222:V224" si="126">IF(T$12=0,0,T222/T$12)</f>
        <v>2.5019337918190721E-3</v>
      </c>
      <c r="W222" s="1"/>
      <c r="X222" s="1">
        <f t="shared" ref="X222:X224" si="127">+P222-T222</f>
        <v>392</v>
      </c>
      <c r="Y222" s="1"/>
      <c r="Z222" s="5">
        <f t="shared" ref="Z222:Z224" si="128">IF(T222=0,0,X222/T222)</f>
        <v>2.7537759044608361E-2</v>
      </c>
    </row>
    <row r="223" spans="1:26" s="24" customFormat="1" hidden="1" outlineLevel="2" x14ac:dyDescent="0.25">
      <c r="A223" s="28"/>
      <c r="B223" s="11" t="str">
        <f>CONCATENATE("          ", "6303", " - ", "DATA PHONE LINES")</f>
        <v xml:space="preserve">          6303 - DATA PHONE LINES</v>
      </c>
      <c r="C223" s="11"/>
      <c r="D223" s="6">
        <v>885</v>
      </c>
      <c r="E223" s="2"/>
      <c r="F223" s="7">
        <f t="shared" si="121"/>
        <v>5.18289378001796E-3</v>
      </c>
      <c r="G223" s="2"/>
      <c r="H223" s="6">
        <v>630</v>
      </c>
      <c r="I223" s="2"/>
      <c r="J223" s="7">
        <f t="shared" si="122"/>
        <v>1.2634238787113076E-3</v>
      </c>
      <c r="K223" s="2"/>
      <c r="L223" s="6">
        <f t="shared" si="123"/>
        <v>255</v>
      </c>
      <c r="M223" s="2"/>
      <c r="N223" s="7">
        <f t="shared" si="124"/>
        <v>0.40476190476190477</v>
      </c>
      <c r="O223" s="11"/>
      <c r="P223" s="6">
        <v>2065</v>
      </c>
      <c r="Q223" s="2"/>
      <c r="R223" s="7">
        <f t="shared" si="125"/>
        <v>5.640711296480696E-4</v>
      </c>
      <c r="S223" s="2"/>
      <c r="T223" s="6">
        <v>3150</v>
      </c>
      <c r="U223" s="2"/>
      <c r="V223" s="7">
        <f t="shared" si="126"/>
        <v>5.5364182959115392E-4</v>
      </c>
      <c r="W223" s="2"/>
      <c r="X223" s="6">
        <f t="shared" si="127"/>
        <v>-1085</v>
      </c>
      <c r="Y223" s="2"/>
      <c r="Z223" s="7">
        <f t="shared" si="128"/>
        <v>-0.34444444444444444</v>
      </c>
    </row>
    <row r="224" spans="1:26" s="24" customFormat="1" hidden="1" outlineLevel="2" x14ac:dyDescent="0.25">
      <c r="A224" s="28"/>
      <c r="B224" s="11" t="str">
        <f>CONCATENATE("          ", "6309", " - ", "TELEPHONE")</f>
        <v xml:space="preserve">          6309 - TELEPHONE</v>
      </c>
      <c r="C224" s="11"/>
      <c r="D224" s="6">
        <v>2096.0300000000002</v>
      </c>
      <c r="E224" s="2"/>
      <c r="F224" s="7">
        <f t="shared" si="121"/>
        <v>1.2275142203085928E-2</v>
      </c>
      <c r="G224" s="2"/>
      <c r="H224" s="6">
        <v>1915</v>
      </c>
      <c r="I224" s="2"/>
      <c r="J224" s="7">
        <f t="shared" si="122"/>
        <v>3.8404075043367522E-3</v>
      </c>
      <c r="K224" s="2"/>
      <c r="L224" s="6">
        <f t="shared" si="123"/>
        <v>181.0300000000002</v>
      </c>
      <c r="M224" s="2"/>
      <c r="N224" s="7">
        <f t="shared" si="124"/>
        <v>9.4532637075718115E-2</v>
      </c>
      <c r="O224" s="11"/>
      <c r="P224" s="6">
        <v>12562</v>
      </c>
      <c r="Q224" s="2"/>
      <c r="R224" s="7">
        <f t="shared" si="125"/>
        <v>3.4314099421980872E-3</v>
      </c>
      <c r="S224" s="2"/>
      <c r="T224" s="6">
        <v>11085</v>
      </c>
      <c r="U224" s="2"/>
      <c r="V224" s="7">
        <f t="shared" si="126"/>
        <v>1.948291962227918E-3</v>
      </c>
      <c r="W224" s="2"/>
      <c r="X224" s="6">
        <f t="shared" si="127"/>
        <v>1477</v>
      </c>
      <c r="Y224" s="2"/>
      <c r="Z224" s="7">
        <f t="shared" si="128"/>
        <v>0.13324312133513758</v>
      </c>
    </row>
    <row r="225" spans="1:26" s="29" customFormat="1" outlineLevel="1" collapsed="1" x14ac:dyDescent="0.25">
      <c r="A225" s="27"/>
      <c r="B225" s="14" t="str">
        <f>CONCATENATE("     ","Training                                          ")</f>
        <v xml:space="preserve">     Training                                          </v>
      </c>
      <c r="C225" s="14"/>
      <c r="D225" s="1">
        <f>SUM(OSRRefD22_22x_0)</f>
        <v>0</v>
      </c>
      <c r="E225" s="1"/>
      <c r="F225" s="5">
        <f t="shared" ref="F225:F230" si="129">IF(D$12=0,0,D225/D$12)</f>
        <v>0</v>
      </c>
      <c r="G225" s="1"/>
      <c r="H225" s="1">
        <f>SUM(OSRRefH22_22x_0)</f>
        <v>750</v>
      </c>
      <c r="I225" s="1"/>
      <c r="J225" s="5">
        <f t="shared" ref="J225:J230" si="130">IF(H$12=0,0,H225/H$12)</f>
        <v>1.5040760460848898E-3</v>
      </c>
      <c r="K225" s="1"/>
      <c r="L225" s="1">
        <f t="shared" ref="L225:L230" si="131">+D225-H225</f>
        <v>-750</v>
      </c>
      <c r="M225" s="1"/>
      <c r="N225" s="5">
        <f t="shared" ref="N225:N230" si="132">IF(H225=0,0,L225/H225)</f>
        <v>-1</v>
      </c>
      <c r="O225" s="14"/>
      <c r="P225" s="1">
        <f>SUM(OSRRefP22_22x_0)</f>
        <v>245.63</v>
      </c>
      <c r="Q225" s="1"/>
      <c r="R225" s="5">
        <f t="shared" ref="R225:R230" si="133">IF(P$12=0,0,P225/P$12)</f>
        <v>6.709578284525682E-5</v>
      </c>
      <c r="S225" s="1"/>
      <c r="T225" s="1">
        <f>SUM(OSRRefT22_22x_0)</f>
        <v>3310</v>
      </c>
      <c r="U225" s="1"/>
      <c r="V225" s="5">
        <f t="shared" ref="V225:V230" si="134">IF(T$12=0,0,T225/T$12)</f>
        <v>5.81763319348165E-4</v>
      </c>
      <c r="W225" s="1"/>
      <c r="X225" s="1">
        <f t="shared" ref="X225:X230" si="135">+P225-T225</f>
        <v>-3064.37</v>
      </c>
      <c r="Y225" s="1"/>
      <c r="Z225" s="5">
        <f t="shared" ref="Z225:Z230" si="136">IF(T225=0,0,X225/T225)</f>
        <v>-0.92579154078549841</v>
      </c>
    </row>
    <row r="226" spans="1:26" s="24" customFormat="1" hidden="1" outlineLevel="2" x14ac:dyDescent="0.25">
      <c r="A226" s="28"/>
      <c r="B226" s="11" t="str">
        <f>CONCATENATE("          ", "6376", " - ", "TRAINING")</f>
        <v xml:space="preserve">          6376 - TRAINING</v>
      </c>
      <c r="C226" s="11"/>
      <c r="D226" s="6"/>
      <c r="E226" s="2"/>
      <c r="F226" s="7">
        <f t="shared" si="129"/>
        <v>0</v>
      </c>
      <c r="G226" s="2"/>
      <c r="H226" s="6">
        <v>750</v>
      </c>
      <c r="I226" s="2"/>
      <c r="J226" s="7">
        <f t="shared" si="130"/>
        <v>1.5040760460848898E-3</v>
      </c>
      <c r="K226" s="2"/>
      <c r="L226" s="6">
        <f t="shared" si="131"/>
        <v>-750</v>
      </c>
      <c r="M226" s="2"/>
      <c r="N226" s="7">
        <f t="shared" si="132"/>
        <v>-1</v>
      </c>
      <c r="O226" s="11"/>
      <c r="P226" s="6">
        <v>245.63</v>
      </c>
      <c r="Q226" s="2"/>
      <c r="R226" s="7">
        <f t="shared" si="133"/>
        <v>6.709578284525682E-5</v>
      </c>
      <c r="S226" s="2"/>
      <c r="T226" s="6">
        <v>3310</v>
      </c>
      <c r="U226" s="2"/>
      <c r="V226" s="7">
        <f t="shared" si="134"/>
        <v>5.81763319348165E-4</v>
      </c>
      <c r="W226" s="2"/>
      <c r="X226" s="6">
        <f t="shared" si="135"/>
        <v>-3064.37</v>
      </c>
      <c r="Y226" s="2"/>
      <c r="Z226" s="7">
        <f t="shared" si="136"/>
        <v>-0.92579154078549841</v>
      </c>
    </row>
    <row r="227" spans="1:26" s="29" customFormat="1" outlineLevel="1" collapsed="1" x14ac:dyDescent="0.25">
      <c r="A227" s="27"/>
      <c r="B227" s="14" t="str">
        <f>CONCATENATE("     ","Travel                                            ")</f>
        <v xml:space="preserve">     Travel                                            </v>
      </c>
      <c r="C227" s="14"/>
      <c r="D227" s="1">
        <f>SUM(OSRRefD22_23x_0)</f>
        <v>299</v>
      </c>
      <c r="E227" s="1"/>
      <c r="F227" s="5">
        <f t="shared" si="129"/>
        <v>1.7510567686162375E-3</v>
      </c>
      <c r="G227" s="1"/>
      <c r="H227" s="1">
        <f>SUM(OSRRefH22_23x_0)</f>
        <v>50</v>
      </c>
      <c r="I227" s="1"/>
      <c r="J227" s="5">
        <f t="shared" si="130"/>
        <v>1.0027173640565933E-4</v>
      </c>
      <c r="K227" s="1"/>
      <c r="L227" s="1">
        <f t="shared" si="131"/>
        <v>249</v>
      </c>
      <c r="M227" s="1"/>
      <c r="N227" s="5">
        <f t="shared" si="132"/>
        <v>4.9800000000000004</v>
      </c>
      <c r="O227" s="14"/>
      <c r="P227" s="1">
        <f>SUM(OSRRefP22_23x_0)</f>
        <v>680.93</v>
      </c>
      <c r="Q227" s="1"/>
      <c r="R227" s="5">
        <f t="shared" si="133"/>
        <v>1.8600143065920582E-4</v>
      </c>
      <c r="S227" s="1"/>
      <c r="T227" s="1">
        <f>SUM(OSRRefT22_23x_0)</f>
        <v>250</v>
      </c>
      <c r="U227" s="1"/>
      <c r="V227" s="5">
        <f t="shared" si="134"/>
        <v>4.3939827745329677E-5</v>
      </c>
      <c r="W227" s="1"/>
      <c r="X227" s="1">
        <f t="shared" si="135"/>
        <v>430.92999999999995</v>
      </c>
      <c r="Y227" s="1"/>
      <c r="Z227" s="5">
        <f t="shared" si="136"/>
        <v>1.7237199999999997</v>
      </c>
    </row>
    <row r="228" spans="1:26" s="24" customFormat="1" hidden="1" outlineLevel="2" x14ac:dyDescent="0.25">
      <c r="A228" s="28"/>
      <c r="B228" s="11" t="str">
        <f>CONCATENATE("          ", "6292", " - ", "TRAVEL/CONFERENCE")</f>
        <v xml:space="preserve">          6292 - TRAVEL/CONFERENCE</v>
      </c>
      <c r="C228" s="11"/>
      <c r="D228" s="6">
        <v>299</v>
      </c>
      <c r="E228" s="2"/>
      <c r="F228" s="7">
        <f t="shared" si="129"/>
        <v>1.7510567686162375E-3</v>
      </c>
      <c r="G228" s="2"/>
      <c r="H228" s="6">
        <v>0</v>
      </c>
      <c r="I228" s="2"/>
      <c r="J228" s="7">
        <f t="shared" si="130"/>
        <v>0</v>
      </c>
      <c r="K228" s="2"/>
      <c r="L228" s="6">
        <f t="shared" si="131"/>
        <v>299</v>
      </c>
      <c r="M228" s="2"/>
      <c r="N228" s="7">
        <f t="shared" si="132"/>
        <v>0</v>
      </c>
      <c r="O228" s="11"/>
      <c r="P228" s="6">
        <v>299.16000000000003</v>
      </c>
      <c r="Q228" s="2"/>
      <c r="R228" s="7">
        <f t="shared" si="133"/>
        <v>8.1717926946981361E-5</v>
      </c>
      <c r="S228" s="2"/>
      <c r="T228" s="6">
        <v>0</v>
      </c>
      <c r="U228" s="2"/>
      <c r="V228" s="7">
        <f t="shared" si="134"/>
        <v>0</v>
      </c>
      <c r="W228" s="2"/>
      <c r="X228" s="6">
        <f t="shared" si="135"/>
        <v>299.16000000000003</v>
      </c>
      <c r="Y228" s="2"/>
      <c r="Z228" s="7">
        <f t="shared" si="136"/>
        <v>0</v>
      </c>
    </row>
    <row r="229" spans="1:26" s="24" customFormat="1" hidden="1" outlineLevel="2" x14ac:dyDescent="0.25">
      <c r="A229" s="28"/>
      <c r="B229" s="11" t="str">
        <f>CONCATENATE("          ", "6294", " - ", "TRAVEL OPERATIONAL")</f>
        <v xml:space="preserve">          6294 - TRAVEL OPERATIONAL</v>
      </c>
      <c r="C229" s="11"/>
      <c r="D229" s="6"/>
      <c r="E229" s="2"/>
      <c r="F229" s="7">
        <f t="shared" si="129"/>
        <v>0</v>
      </c>
      <c r="G229" s="2"/>
      <c r="H229" s="6">
        <v>25</v>
      </c>
      <c r="I229" s="2"/>
      <c r="J229" s="7">
        <f t="shared" si="130"/>
        <v>5.0135868202829664E-5</v>
      </c>
      <c r="K229" s="2"/>
      <c r="L229" s="6">
        <f t="shared" si="131"/>
        <v>-25</v>
      </c>
      <c r="M229" s="2"/>
      <c r="N229" s="7">
        <f t="shared" si="132"/>
        <v>-1</v>
      </c>
      <c r="O229" s="11"/>
      <c r="P229" s="6">
        <v>321.88</v>
      </c>
      <c r="Q229" s="2"/>
      <c r="R229" s="7">
        <f t="shared" si="133"/>
        <v>8.7924075162770289E-5</v>
      </c>
      <c r="S229" s="2"/>
      <c r="T229" s="6">
        <v>125</v>
      </c>
      <c r="U229" s="2"/>
      <c r="V229" s="7">
        <f t="shared" si="134"/>
        <v>2.1969913872664839E-5</v>
      </c>
      <c r="W229" s="2"/>
      <c r="X229" s="6">
        <f t="shared" si="135"/>
        <v>196.88</v>
      </c>
      <c r="Y229" s="2"/>
      <c r="Z229" s="7">
        <f t="shared" si="136"/>
        <v>1.57504</v>
      </c>
    </row>
    <row r="230" spans="1:26" s="24" customFormat="1" hidden="1" outlineLevel="2" x14ac:dyDescent="0.25">
      <c r="A230" s="28"/>
      <c r="B230" s="11" t="str">
        <f>CONCATENATE("          ", "6298", " - ", "VEHICLE MILEAGE")</f>
        <v xml:space="preserve">          6298 - VEHICLE MILEAGE</v>
      </c>
      <c r="C230" s="11"/>
      <c r="D230" s="6"/>
      <c r="E230" s="2"/>
      <c r="F230" s="7">
        <f t="shared" si="129"/>
        <v>0</v>
      </c>
      <c r="G230" s="2"/>
      <c r="H230" s="6">
        <v>25</v>
      </c>
      <c r="I230" s="2"/>
      <c r="J230" s="7">
        <f t="shared" si="130"/>
        <v>5.0135868202829664E-5</v>
      </c>
      <c r="K230" s="2"/>
      <c r="L230" s="6">
        <f t="shared" si="131"/>
        <v>-25</v>
      </c>
      <c r="M230" s="2"/>
      <c r="N230" s="7">
        <f t="shared" si="132"/>
        <v>-1</v>
      </c>
      <c r="O230" s="11"/>
      <c r="P230" s="6">
        <v>59.89</v>
      </c>
      <c r="Q230" s="2"/>
      <c r="R230" s="7">
        <f t="shared" si="133"/>
        <v>1.6359428549454184E-5</v>
      </c>
      <c r="S230" s="2"/>
      <c r="T230" s="6">
        <v>125</v>
      </c>
      <c r="U230" s="2"/>
      <c r="V230" s="7">
        <f t="shared" si="134"/>
        <v>2.1969913872664839E-5</v>
      </c>
      <c r="W230" s="2"/>
      <c r="X230" s="6">
        <f t="shared" si="135"/>
        <v>-65.11</v>
      </c>
      <c r="Y230" s="2"/>
      <c r="Z230" s="7">
        <f t="shared" si="136"/>
        <v>-0.52088000000000001</v>
      </c>
    </row>
    <row r="231" spans="1:26" s="29" customFormat="1" outlineLevel="1" collapsed="1" x14ac:dyDescent="0.25">
      <c r="A231" s="27"/>
      <c r="B231" s="14" t="str">
        <f>CONCATENATE("     ","Utilities                                         ")</f>
        <v xml:space="preserve">     Utilities                                         </v>
      </c>
      <c r="C231" s="14"/>
      <c r="D231" s="1">
        <f>SUM(OSRRefD22_24x_0)</f>
        <v>6150.38</v>
      </c>
      <c r="E231" s="1"/>
      <c r="F231" s="5">
        <f t="shared" ref="F231:F232" si="137">IF(D$12=0,0,D231/D$12)</f>
        <v>3.6018944911578372E-2</v>
      </c>
      <c r="G231" s="1"/>
      <c r="H231" s="1">
        <f>SUM(OSRRefH22_24x_0)</f>
        <v>6105</v>
      </c>
      <c r="I231" s="1"/>
      <c r="J231" s="5">
        <f t="shared" ref="J231:J232" si="138">IF(H$12=0,0,H231/H$12)</f>
        <v>1.2243179015131004E-2</v>
      </c>
      <c r="K231" s="1"/>
      <c r="L231" s="1">
        <f t="shared" ref="L231:L232" si="139">+D231-H231</f>
        <v>45.380000000000109</v>
      </c>
      <c r="M231" s="1"/>
      <c r="N231" s="5">
        <f t="shared" ref="N231:N232" si="140">IF(H231=0,0,L231/H231)</f>
        <v>7.4332514332514513E-3</v>
      </c>
      <c r="O231" s="14"/>
      <c r="P231" s="1">
        <f>SUM(OSRRefP22_24x_0)</f>
        <v>30585.809999999998</v>
      </c>
      <c r="Q231" s="1"/>
      <c r="R231" s="5">
        <f t="shared" ref="R231:R232" si="141">IF(P$12=0,0,P231/P$12)</f>
        <v>8.3547566091531338E-3</v>
      </c>
      <c r="S231" s="1"/>
      <c r="T231" s="1">
        <f>SUM(OSRRefT22_24x_0)</f>
        <v>30525</v>
      </c>
      <c r="U231" s="1"/>
      <c r="V231" s="5">
        <f t="shared" ref="V231:V232" si="142">IF(T$12=0,0,T231/T$12)</f>
        <v>5.3650529677047535E-3</v>
      </c>
      <c r="W231" s="1"/>
      <c r="X231" s="1">
        <f t="shared" ref="X231:X232" si="143">+P231-T231</f>
        <v>60.809999999997672</v>
      </c>
      <c r="Y231" s="1"/>
      <c r="Z231" s="5">
        <f t="shared" ref="Z231:Z232" si="144">IF(T231=0,0,X231/T231)</f>
        <v>1.9921375921375158E-3</v>
      </c>
    </row>
    <row r="232" spans="1:26" s="24" customFormat="1" hidden="1" outlineLevel="2" x14ac:dyDescent="0.25">
      <c r="A232" s="28"/>
      <c r="B232" s="11" t="str">
        <f>CONCATENATE("          ", "6274", " - ", "UTILITIES")</f>
        <v xml:space="preserve">          6274 - UTILITIES</v>
      </c>
      <c r="C232" s="11"/>
      <c r="D232" s="6">
        <v>6150.38</v>
      </c>
      <c r="E232" s="2"/>
      <c r="F232" s="7">
        <f t="shared" si="137"/>
        <v>3.6018944911578372E-2</v>
      </c>
      <c r="G232" s="2"/>
      <c r="H232" s="6">
        <v>6105</v>
      </c>
      <c r="I232" s="2"/>
      <c r="J232" s="7">
        <f t="shared" si="138"/>
        <v>1.2243179015131004E-2</v>
      </c>
      <c r="K232" s="2"/>
      <c r="L232" s="6">
        <f t="shared" si="139"/>
        <v>45.380000000000109</v>
      </c>
      <c r="M232" s="2"/>
      <c r="N232" s="7">
        <f t="shared" si="140"/>
        <v>7.4332514332514513E-3</v>
      </c>
      <c r="O232" s="11"/>
      <c r="P232" s="6">
        <v>30585.809999999998</v>
      </c>
      <c r="Q232" s="2"/>
      <c r="R232" s="7">
        <f t="shared" si="141"/>
        <v>8.3547566091531338E-3</v>
      </c>
      <c r="S232" s="2"/>
      <c r="T232" s="6">
        <v>30525</v>
      </c>
      <c r="U232" s="2"/>
      <c r="V232" s="7">
        <f t="shared" si="142"/>
        <v>5.3650529677047535E-3</v>
      </c>
      <c r="W232" s="2"/>
      <c r="X232" s="6">
        <f t="shared" si="143"/>
        <v>60.809999999997672</v>
      </c>
      <c r="Y232" s="2"/>
      <c r="Z232" s="7">
        <f t="shared" si="144"/>
        <v>1.9921375921375158E-3</v>
      </c>
    </row>
    <row r="233" spans="1:26" s="62" customFormat="1" x14ac:dyDescent="0.25">
      <c r="A233" s="36"/>
      <c r="B233" s="36"/>
      <c r="C233" s="36"/>
      <c r="D233" s="1"/>
      <c r="E233" s="1"/>
      <c r="F233" s="5"/>
      <c r="G233" s="1"/>
      <c r="H233" s="1"/>
      <c r="I233" s="1"/>
      <c r="J233" s="5"/>
      <c r="K233" s="1"/>
      <c r="L233" s="1"/>
      <c r="M233" s="1"/>
      <c r="N233" s="5"/>
      <c r="O233" s="36"/>
      <c r="P233" s="1"/>
      <c r="Q233" s="1"/>
      <c r="R233" s="5"/>
      <c r="S233" s="1"/>
      <c r="T233" s="1"/>
      <c r="U233" s="1"/>
      <c r="V233" s="5"/>
      <c r="W233" s="1"/>
      <c r="X233" s="1"/>
      <c r="Y233" s="1"/>
      <c r="Z233" s="5"/>
    </row>
    <row r="234" spans="1:26" s="23" customFormat="1" collapsed="1" x14ac:dyDescent="0.25">
      <c r="A234" s="10"/>
      <c r="B234" s="26" t="s">
        <v>0</v>
      </c>
      <c r="C234" s="10"/>
      <c r="D234" s="4">
        <f>SUM(OSRRefD25x_0)</f>
        <v>72016.7</v>
      </c>
      <c r="E234" s="4"/>
      <c r="F234" s="12">
        <f t="shared" ref="F234:F239" si="145">IF(D$12=0,0,D234/D$12)</f>
        <v>0.4217569564829598</v>
      </c>
      <c r="G234" s="4"/>
      <c r="H234" s="4">
        <f>SUM(OSRRefH25x_0)</f>
        <v>33974</v>
      </c>
      <c r="I234" s="4"/>
      <c r="J234" s="12">
        <f t="shared" ref="J234:J239" si="146">IF(H$12=0,0,H234/H$12)</f>
        <v>6.8132639452917393E-2</v>
      </c>
      <c r="K234" s="4"/>
      <c r="L234" s="4">
        <f t="shared" ref="L234:L239" si="147">+D234-H234</f>
        <v>38042.699999999997</v>
      </c>
      <c r="M234" s="4"/>
      <c r="N234" s="12">
        <f t="shared" ref="N234:N239" si="148">IF(H234=0,0,L234/H234)</f>
        <v>1.1197592276446693</v>
      </c>
      <c r="O234" s="10"/>
      <c r="P234" s="4">
        <f>SUM(OSRRefP25x_0)</f>
        <v>525135.35999999999</v>
      </c>
      <c r="Q234" s="4"/>
      <c r="R234" s="12">
        <f t="shared" ref="R234:R239" si="149">IF(P$12=0,0,P234/P$12)</f>
        <v>0.14344488897498581</v>
      </c>
      <c r="S234" s="4"/>
      <c r="T234" s="4">
        <f>SUM(OSRRefT25x_0)</f>
        <v>274613</v>
      </c>
      <c r="U234" s="4"/>
      <c r="V234" s="12">
        <f t="shared" ref="V234:V239" si="150">IF(T$12=0,0,T234/T$12)</f>
        <v>4.8265791666512875E-2</v>
      </c>
      <c r="W234" s="4"/>
      <c r="X234" s="4">
        <f t="shared" ref="X234:X239" si="151">+P234-T234</f>
        <v>250522.36</v>
      </c>
      <c r="Y234" s="4"/>
      <c r="Z234" s="12">
        <f t="shared" ref="Z234:Z239" si="152">IF(T234=0,0,X234/T234)</f>
        <v>0.91227421862766866</v>
      </c>
    </row>
    <row r="235" spans="1:26" s="24" customFormat="1" hidden="1" outlineLevel="1" x14ac:dyDescent="0.25">
      <c r="A235" s="51"/>
      <c r="B235" s="11" t="str">
        <f>CONCATENATE("          ", "4187", " - ", "NON-TAXABLE SALES-COMPUTER REP")</f>
        <v xml:space="preserve">          4187 - NON-TAXABLE SALES-COMPUTER REP</v>
      </c>
      <c r="C235" s="11"/>
      <c r="D235" s="2">
        <f>-374.75</f>
        <v>-374.75</v>
      </c>
      <c r="E235" s="2"/>
      <c r="F235" s="22">
        <f t="shared" si="145"/>
        <v>-2.1946773379228593E-3</v>
      </c>
      <c r="G235" s="2"/>
      <c r="H235" s="2"/>
      <c r="I235" s="2"/>
      <c r="J235" s="22">
        <f t="shared" si="146"/>
        <v>0</v>
      </c>
      <c r="K235" s="2"/>
      <c r="L235" s="2">
        <f t="shared" si="147"/>
        <v>-374.75</v>
      </c>
      <c r="M235" s="2"/>
      <c r="N235" s="22">
        <f t="shared" si="148"/>
        <v>0</v>
      </c>
      <c r="O235" s="11"/>
      <c r="P235" s="2">
        <f>--563.21</f>
        <v>563.21</v>
      </c>
      <c r="Q235" s="2"/>
      <c r="R235" s="22">
        <f t="shared" si="149"/>
        <v>1.5384527890028538E-4</v>
      </c>
      <c r="S235" s="2"/>
      <c r="T235" s="2"/>
      <c r="U235" s="2"/>
      <c r="V235" s="22">
        <f t="shared" si="150"/>
        <v>0</v>
      </c>
      <c r="W235" s="2"/>
      <c r="X235" s="2">
        <f t="shared" si="151"/>
        <v>563.21</v>
      </c>
      <c r="Y235" s="2"/>
      <c r="Z235" s="22">
        <f t="shared" si="152"/>
        <v>0</v>
      </c>
    </row>
    <row r="236" spans="1:26" s="24" customFormat="1" hidden="1" outlineLevel="1" x14ac:dyDescent="0.25">
      <c r="A236" s="51"/>
      <c r="B236" s="11" t="str">
        <f>CONCATENATE("          ", "9150", " - ", "MISC. INCOME")</f>
        <v xml:space="preserve">          9150 - MISC. INCOME</v>
      </c>
      <c r="C236" s="11"/>
      <c r="D236" s="2">
        <f>--57394.3</f>
        <v>57394.3</v>
      </c>
      <c r="E236" s="2"/>
      <c r="F236" s="22">
        <f t="shared" si="145"/>
        <v>0.33612266720732747</v>
      </c>
      <c r="G236" s="2"/>
      <c r="H236" s="2">
        <v>18799</v>
      </c>
      <c r="I236" s="2"/>
      <c r="J236" s="22">
        <f t="shared" si="146"/>
        <v>3.7700167453799796E-2</v>
      </c>
      <c r="K236" s="2"/>
      <c r="L236" s="2">
        <f t="shared" si="147"/>
        <v>38595.300000000003</v>
      </c>
      <c r="M236" s="2"/>
      <c r="N236" s="22">
        <f t="shared" si="148"/>
        <v>2.0530506941858611</v>
      </c>
      <c r="O236" s="11"/>
      <c r="P236" s="2">
        <f>--199274.69</f>
        <v>199274.69</v>
      </c>
      <c r="Q236" s="2"/>
      <c r="R236" s="22">
        <f t="shared" si="149"/>
        <v>5.4433462226909868E-2</v>
      </c>
      <c r="S236" s="2"/>
      <c r="T236" s="2">
        <v>106479</v>
      </c>
      <c r="U236" s="2"/>
      <c r="V236" s="22">
        <f t="shared" si="150"/>
        <v>1.8714675673979837E-2</v>
      </c>
      <c r="W236" s="2"/>
      <c r="X236" s="2">
        <f t="shared" si="151"/>
        <v>92795.69</v>
      </c>
      <c r="Y236" s="2"/>
      <c r="Z236" s="22">
        <f t="shared" si="152"/>
        <v>0.87149287652964436</v>
      </c>
    </row>
    <row r="237" spans="1:26" s="24" customFormat="1" hidden="1" outlineLevel="1" x14ac:dyDescent="0.25">
      <c r="A237" s="51"/>
      <c r="B237" s="11" t="str">
        <f>CONCATENATE("          ", "9151", " - ", "MISC. INCOME")</f>
        <v xml:space="preserve">          9151 - MISC. INCOME</v>
      </c>
      <c r="C237" s="11"/>
      <c r="D237" s="2">
        <f>0</f>
        <v>0</v>
      </c>
      <c r="E237" s="2"/>
      <c r="F237" s="22">
        <f t="shared" si="145"/>
        <v>0</v>
      </c>
      <c r="G237" s="2"/>
      <c r="H237" s="2">
        <v>15175</v>
      </c>
      <c r="I237" s="2"/>
      <c r="J237" s="22">
        <f t="shared" si="146"/>
        <v>3.0432471999117604E-2</v>
      </c>
      <c r="K237" s="2"/>
      <c r="L237" s="2">
        <f t="shared" si="147"/>
        <v>-15175</v>
      </c>
      <c r="M237" s="2"/>
      <c r="N237" s="22">
        <f t="shared" si="148"/>
        <v>-1</v>
      </c>
      <c r="O237" s="11"/>
      <c r="P237" s="2">
        <f>--147285.39</f>
        <v>147285.39000000001</v>
      </c>
      <c r="Q237" s="2"/>
      <c r="R237" s="22">
        <f t="shared" si="149"/>
        <v>4.0232172551068521E-2</v>
      </c>
      <c r="S237" s="2"/>
      <c r="T237" s="2">
        <v>168134</v>
      </c>
      <c r="U237" s="2"/>
      <c r="V237" s="22">
        <f t="shared" si="150"/>
        <v>2.9551115992533041E-2</v>
      </c>
      <c r="W237" s="2"/>
      <c r="X237" s="2">
        <f t="shared" si="151"/>
        <v>-20848.609999999986</v>
      </c>
      <c r="Y237" s="2"/>
      <c r="Z237" s="22">
        <f t="shared" si="152"/>
        <v>-0.1239999643141779</v>
      </c>
    </row>
    <row r="238" spans="1:26" s="24" customFormat="1" hidden="1" outlineLevel="1" x14ac:dyDescent="0.25">
      <c r="A238" s="51"/>
      <c r="B238" s="11" t="str">
        <f>CONCATENATE("          ", "9152", " - ", "MISC. INCOME")</f>
        <v xml:space="preserve">          9152 - MISC. INCOME</v>
      </c>
      <c r="C238" s="11"/>
      <c r="D238" s="2">
        <f>--255.21</f>
        <v>255.21</v>
      </c>
      <c r="E238" s="2"/>
      <c r="F238" s="22">
        <f t="shared" si="145"/>
        <v>1.4946060131055183E-3</v>
      </c>
      <c r="G238" s="2"/>
      <c r="H238" s="2"/>
      <c r="I238" s="2"/>
      <c r="J238" s="22">
        <f t="shared" si="146"/>
        <v>0</v>
      </c>
      <c r="K238" s="2"/>
      <c r="L238" s="2">
        <f t="shared" si="147"/>
        <v>255.21</v>
      </c>
      <c r="M238" s="2"/>
      <c r="N238" s="22">
        <f t="shared" si="148"/>
        <v>0</v>
      </c>
      <c r="O238" s="11"/>
      <c r="P238" s="2">
        <f>--2606.23</f>
        <v>2606.23</v>
      </c>
      <c r="Q238" s="2"/>
      <c r="R238" s="22">
        <f t="shared" si="149"/>
        <v>7.1191239720227041E-4</v>
      </c>
      <c r="S238" s="2"/>
      <c r="T238" s="2"/>
      <c r="U238" s="2"/>
      <c r="V238" s="22">
        <f t="shared" si="150"/>
        <v>0</v>
      </c>
      <c r="W238" s="2"/>
      <c r="X238" s="2">
        <f t="shared" si="151"/>
        <v>2606.23</v>
      </c>
      <c r="Y238" s="2"/>
      <c r="Z238" s="22">
        <f t="shared" si="152"/>
        <v>0</v>
      </c>
    </row>
    <row r="239" spans="1:26" s="24" customFormat="1" hidden="1" outlineLevel="1" x14ac:dyDescent="0.25">
      <c r="A239" s="51"/>
      <c r="B239" s="11" t="str">
        <f>CONCATENATE("          ", "9163", " - ", "MISC. INCOME")</f>
        <v xml:space="preserve">          9163 - MISC. INCOME</v>
      </c>
      <c r="C239" s="11"/>
      <c r="D239" s="2">
        <f>--14741.94</f>
        <v>14741.94</v>
      </c>
      <c r="E239" s="2"/>
      <c r="F239" s="22">
        <f t="shared" si="145"/>
        <v>8.6334360600449689E-2</v>
      </c>
      <c r="G239" s="2"/>
      <c r="H239" s="2"/>
      <c r="I239" s="2"/>
      <c r="J239" s="22">
        <f t="shared" si="146"/>
        <v>0</v>
      </c>
      <c r="K239" s="2"/>
      <c r="L239" s="2">
        <f t="shared" si="147"/>
        <v>14741.94</v>
      </c>
      <c r="M239" s="2"/>
      <c r="N239" s="22">
        <f t="shared" si="148"/>
        <v>0</v>
      </c>
      <c r="O239" s="11"/>
      <c r="P239" s="2">
        <f>--175405.84</f>
        <v>175405.84</v>
      </c>
      <c r="Q239" s="2"/>
      <c r="R239" s="22">
        <f t="shared" si="149"/>
        <v>4.7913496520904868E-2</v>
      </c>
      <c r="S239" s="2"/>
      <c r="T239" s="2"/>
      <c r="U239" s="2"/>
      <c r="V239" s="22">
        <f t="shared" si="150"/>
        <v>0</v>
      </c>
      <c r="W239" s="2"/>
      <c r="X239" s="2">
        <f t="shared" si="151"/>
        <v>175405.84</v>
      </c>
      <c r="Y239" s="2"/>
      <c r="Z239" s="22">
        <f t="shared" si="152"/>
        <v>0</v>
      </c>
    </row>
    <row r="240" spans="1:26" x14ac:dyDescent="0.25">
      <c r="A240" s="9"/>
      <c r="B240" s="10"/>
      <c r="C240" s="10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O240" s="10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s="23" customFormat="1" x14ac:dyDescent="0.25">
      <c r="A241" s="10"/>
      <c r="B241" s="25" t="s">
        <v>3</v>
      </c>
      <c r="C241" s="25"/>
      <c r="D241" s="21">
        <f>+D134-D136+D234</f>
        <v>-126974.84000000004</v>
      </c>
      <c r="E241" s="13"/>
      <c r="F241" s="20">
        <f>IF(D$12=0,0,D241/D$12)</f>
        <v>-0.74361255192630049</v>
      </c>
      <c r="G241" s="13"/>
      <c r="H241" s="21">
        <f>+H134-H136+H234</f>
        <v>-62873.641176961479</v>
      </c>
      <c r="I241" s="13"/>
      <c r="J241" s="20">
        <f>IF(H$12=0,0,H241/H$12)</f>
        <v>-0.1260889834992058</v>
      </c>
      <c r="K241" s="16"/>
      <c r="L241" s="21">
        <f>+D241-H241</f>
        <v>-64101.198823038561</v>
      </c>
      <c r="M241" s="16"/>
      <c r="N241" s="20">
        <f>IF(H241=0,0,L241/H241)</f>
        <v>1.0195242016065533</v>
      </c>
      <c r="O241" s="26"/>
      <c r="P241" s="21">
        <f>+P134-P136+P234</f>
        <v>17424.760000000359</v>
      </c>
      <c r="Q241" s="13"/>
      <c r="R241" s="20">
        <f>IF(P$12=0,0,P241/P$12)</f>
        <v>4.7597114077707987E-3</v>
      </c>
      <c r="S241" s="13"/>
      <c r="T241" s="21">
        <f>+T134-T136+T234</f>
        <v>295190.11411271151</v>
      </c>
      <c r="U241" s="13"/>
      <c r="V241" s="20">
        <f>IF(T$12=0,0,T241/T$12)</f>
        <v>5.1882411064947023E-2</v>
      </c>
      <c r="W241" s="16"/>
      <c r="X241" s="21">
        <f>+P241-T241</f>
        <v>-277765.35411271115</v>
      </c>
      <c r="Y241" s="16"/>
      <c r="Z241" s="20">
        <f>IF(T241=0,0,X241/T241)</f>
        <v>-0.94097105842322648</v>
      </c>
    </row>
    <row r="242" spans="1:26" x14ac:dyDescent="0.25">
      <c r="A242" s="9"/>
      <c r="B242" s="10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3" customFormat="1" x14ac:dyDescent="0.25">
      <c r="A243" s="52"/>
      <c r="B243" s="10" t="s">
        <v>14</v>
      </c>
      <c r="C243" s="10"/>
      <c r="D243" s="4">
        <v>-174329.22</v>
      </c>
      <c r="E243" s="4"/>
      <c r="F243" s="12">
        <f>IF(D$12=0,0,D243/D$12)</f>
        <v>-1.0209376610320706</v>
      </c>
      <c r="G243" s="4"/>
      <c r="H243" s="4">
        <v>164148</v>
      </c>
      <c r="I243" s="4"/>
      <c r="J243" s="12">
        <f>IF(H$12=0,0,H243/H$12)</f>
        <v>0.32918809975032332</v>
      </c>
      <c r="K243" s="4"/>
      <c r="L243" s="4">
        <f>+D243-H243</f>
        <v>-338477.22</v>
      </c>
      <c r="M243" s="4"/>
      <c r="N243" s="12">
        <f>IF(H243=0,0,L243/H243)</f>
        <v>-2.062024636303823</v>
      </c>
      <c r="O243" s="10"/>
      <c r="P243" s="4">
        <v>581708.49</v>
      </c>
      <c r="Q243" s="4"/>
      <c r="R243" s="12">
        <f>IF(P$12=0,0,P243/P$12)</f>
        <v>0.15889828817441781</v>
      </c>
      <c r="S243" s="4"/>
      <c r="T243" s="4">
        <v>1015515</v>
      </c>
      <c r="U243" s="4"/>
      <c r="V243" s="12">
        <f>IF(T$12=0,0,T243/T$12)</f>
        <v>0.17848621669119388</v>
      </c>
      <c r="W243" s="4"/>
      <c r="X243" s="4">
        <f>+P243-T243</f>
        <v>-433806.51</v>
      </c>
      <c r="Y243" s="4"/>
      <c r="Z243" s="12">
        <f>IF(T243=0,0,X243/T243)</f>
        <v>-0.42717883044563598</v>
      </c>
    </row>
    <row r="244" spans="1:26" x14ac:dyDescent="0.25">
      <c r="A244" s="9"/>
      <c r="B244" s="10"/>
      <c r="C244" s="10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O244" s="10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ht="15.75" thickBot="1" x14ac:dyDescent="0.3">
      <c r="A245" s="10"/>
      <c r="B245" s="25" t="s">
        <v>4</v>
      </c>
      <c r="C245" s="25"/>
      <c r="D245" s="31">
        <f>+D241-D243</f>
        <v>47354.379999999961</v>
      </c>
      <c r="E245" s="13"/>
      <c r="F245" s="34">
        <f>IF(D$12=0,0,D245/D$12)</f>
        <v>0.27732510910577024</v>
      </c>
      <c r="G245" s="13"/>
      <c r="H245" s="31">
        <f>+H241-H243</f>
        <v>-227021.64117696148</v>
      </c>
      <c r="I245" s="13"/>
      <c r="J245" s="34">
        <f>IF(H$12=0,0,H245/H$12)</f>
        <v>-0.45527708324952915</v>
      </c>
      <c r="K245" s="16"/>
      <c r="L245" s="31">
        <f>D245-H245</f>
        <v>274376.02117696143</v>
      </c>
      <c r="M245" s="16"/>
      <c r="N245" s="34">
        <f>IF(H245=0,0,L245/H245)</f>
        <v>-1.2085897175022517</v>
      </c>
      <c r="O245" s="26"/>
      <c r="P245" s="31">
        <f>+P241-P243</f>
        <v>-564283.72999999963</v>
      </c>
      <c r="Q245" s="13"/>
      <c r="R245" s="34">
        <f>IF(P$12=0,0,P245/P$12)</f>
        <v>-0.15413857676664702</v>
      </c>
      <c r="S245" s="13"/>
      <c r="T245" s="31">
        <f>+T241-T243</f>
        <v>-720324.88588728849</v>
      </c>
      <c r="U245" s="13"/>
      <c r="V245" s="34">
        <f>IF(T$12=0,0,T245/T$12)</f>
        <v>-0.12660380562624685</v>
      </c>
      <c r="W245" s="16"/>
      <c r="X245" s="31">
        <f>P245-T245</f>
        <v>156041.15588728886</v>
      </c>
      <c r="Y245" s="16"/>
      <c r="Z245" s="34">
        <f>IF(T245=0,0,X245/T245)</f>
        <v>-0.21662607934901351</v>
      </c>
    </row>
    <row r="246" spans="1:26" ht="15.75" thickTop="1" x14ac:dyDescent="0.25">
      <c r="A246" s="9"/>
      <c r="B246" s="9"/>
      <c r="C246" s="9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x14ac:dyDescent="0.25">
      <c r="A247" s="9"/>
      <c r="B247" s="9"/>
      <c r="C247" s="9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ht="15.75" thickBot="1" x14ac:dyDescent="0.3">
      <c r="A248" s="10"/>
      <c r="B248" s="25" t="s">
        <v>5</v>
      </c>
      <c r="C248" s="25"/>
      <c r="D248" s="33">
        <f>SUM(D245:D247)</f>
        <v>47354.379999999961</v>
      </c>
      <c r="E248" s="13"/>
      <c r="F248" s="30">
        <f>IF(D$12=0,0,D248/D$12)</f>
        <v>0.27732510910577024</v>
      </c>
      <c r="G248" s="13"/>
      <c r="H248" s="33">
        <f>SUM(H245:H247)</f>
        <v>-227021.64117696148</v>
      </c>
      <c r="I248" s="13"/>
      <c r="J248" s="30">
        <f>IF(H$12=0,0,H248/H$12)</f>
        <v>-0.45527708324952915</v>
      </c>
      <c r="K248" s="16"/>
      <c r="L248" s="33">
        <f>+D248-H248</f>
        <v>274376.02117696143</v>
      </c>
      <c r="M248" s="16"/>
      <c r="N248" s="30">
        <f>IF(H248=0,0,L248/H248)</f>
        <v>-1.2085897175022517</v>
      </c>
      <c r="O248" s="26"/>
      <c r="P248" s="33">
        <f>SUM(P245:P247)</f>
        <v>-564283.72999999963</v>
      </c>
      <c r="Q248" s="13"/>
      <c r="R248" s="30">
        <f>IF(P$12=0,0,P248/P$12)</f>
        <v>-0.15413857676664702</v>
      </c>
      <c r="S248" s="13"/>
      <c r="T248" s="33">
        <f>SUM(T245:T247)</f>
        <v>-720324.88588728849</v>
      </c>
      <c r="U248" s="13"/>
      <c r="V248" s="30">
        <f>IF(T$12=0,0,T248/T$12)</f>
        <v>-0.12660380562624685</v>
      </c>
      <c r="W248" s="16"/>
      <c r="X248" s="33">
        <f>+P248-T248</f>
        <v>156041.15588728886</v>
      </c>
      <c r="Y248" s="16"/>
      <c r="Z248" s="30">
        <f>IF(T248=0,0,X248/T248)</f>
        <v>-0.21662607934901351</v>
      </c>
    </row>
    <row r="249" spans="1:26" ht="15.75" thickTop="1" x14ac:dyDescent="0.25">
      <c r="A249" s="9"/>
      <c r="C249" s="9"/>
      <c r="D249" s="18"/>
      <c r="E249" s="18"/>
      <c r="G249" s="18"/>
      <c r="H249" s="18"/>
      <c r="I249" s="18"/>
      <c r="J249" s="43"/>
      <c r="K249" s="18"/>
      <c r="L249" s="18"/>
      <c r="M249" s="18"/>
      <c r="P249" s="18"/>
      <c r="Q249" s="18"/>
      <c r="R249" s="43"/>
      <c r="S249" s="18"/>
      <c r="T249" s="18"/>
      <c r="U249" s="18"/>
      <c r="V249" s="43"/>
      <c r="W249" s="18"/>
      <c r="X249" s="18"/>
    </row>
    <row r="250" spans="1:26" x14ac:dyDescent="0.25">
      <c r="A250" s="9"/>
      <c r="B250" s="55">
        <v>44174.679068634257</v>
      </c>
      <c r="D250" s="18"/>
      <c r="E250" s="18"/>
      <c r="G250" s="18"/>
      <c r="H250" s="18"/>
      <c r="I250" s="18"/>
      <c r="J250" s="43"/>
      <c r="K250" s="18"/>
      <c r="L250" s="18"/>
      <c r="M250" s="18"/>
      <c r="P250" s="18"/>
      <c r="Q250" s="18"/>
      <c r="R250" s="43"/>
      <c r="S250" s="18"/>
      <c r="T250" s="18"/>
      <c r="U250" s="18"/>
      <c r="V250" s="43"/>
      <c r="W250" s="18"/>
      <c r="X250" s="18"/>
    </row>
    <row r="251" spans="1:26" x14ac:dyDescent="0.25">
      <c r="A251" s="9"/>
      <c r="B251" s="57" t="s">
        <v>314</v>
      </c>
      <c r="D251" s="18"/>
      <c r="E251" s="18"/>
      <c r="G251" s="18"/>
      <c r="H251" s="18"/>
      <c r="I251" s="18"/>
      <c r="J251" s="43"/>
      <c r="K251" s="18"/>
      <c r="L251" s="18"/>
      <c r="M251" s="18"/>
      <c r="P251" s="18"/>
      <c r="Q251" s="18"/>
      <c r="R251" s="43"/>
      <c r="S251" s="18"/>
      <c r="T251" s="18"/>
      <c r="U251" s="18"/>
      <c r="V251" s="43"/>
      <c r="W251" s="18"/>
      <c r="X251" s="18"/>
    </row>
    <row r="252" spans="1:26" x14ac:dyDescent="0.25">
      <c r="A252" s="9"/>
      <c r="B252" s="63"/>
      <c r="D252" s="18"/>
      <c r="E252" s="18"/>
      <c r="G252" s="18"/>
      <c r="H252" s="18"/>
      <c r="I252" s="18"/>
      <c r="J252" s="43"/>
      <c r="K252" s="18"/>
      <c r="L252" s="18"/>
      <c r="M252" s="18"/>
      <c r="P252" s="18"/>
      <c r="Q252" s="18"/>
      <c r="R252" s="43"/>
      <c r="S252" s="18"/>
      <c r="T252" s="18"/>
      <c r="U252" s="18"/>
      <c r="V252" s="43"/>
      <c r="W252" s="18"/>
      <c r="X252" s="18"/>
    </row>
    <row r="253" spans="1:26" x14ac:dyDescent="0.25">
      <c r="D253" s="18"/>
      <c r="E253" s="18"/>
      <c r="G253" s="18"/>
      <c r="H253" s="18"/>
      <c r="I253" s="18"/>
      <c r="J253" s="43"/>
      <c r="K253" s="18"/>
      <c r="L253" s="18"/>
      <c r="M253" s="18"/>
      <c r="P253" s="18"/>
      <c r="Q253" s="18"/>
      <c r="R253" s="43"/>
      <c r="S253" s="18"/>
      <c r="T253" s="18"/>
      <c r="U253" s="18"/>
      <c r="V253" s="43"/>
      <c r="W253" s="18"/>
      <c r="X25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96301.599999999962</v>
      </c>
      <c r="E18" s="19"/>
      <c r="F18" s="35">
        <f t="shared" ref="F18:F28" si="0">IF(D$12=0,0,D18/D$12)</f>
        <v>0</v>
      </c>
      <c r="G18" s="19"/>
      <c r="H18" s="19">
        <f>SUM(OSRRefH22x_0)</f>
        <v>106451.67944033847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-10150.079440338508</v>
      </c>
      <c r="M18" s="4"/>
      <c r="N18" s="35">
        <f t="shared" ref="N18:N28" si="3">IF(H18=0,0,L18/H18)</f>
        <v>-9.5349171508629746E-2</v>
      </c>
      <c r="O18" s="10"/>
      <c r="P18" s="19">
        <f>SUM(OSRRefP22x_0)</f>
        <v>631392.1100000001</v>
      </c>
      <c r="Q18" s="19"/>
      <c r="R18" s="35">
        <f t="shared" ref="R18:R28" si="4">IF(P$12=0,0,P18/P$12)</f>
        <v>0</v>
      </c>
      <c r="S18" s="19"/>
      <c r="T18" s="19">
        <f>SUM(OSRRefT22x_0)</f>
        <v>779029.85937686148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-147637.74937686138</v>
      </c>
      <c r="Y18" s="4"/>
      <c r="Z18" s="35">
        <f t="shared" ref="Z18:Z28" si="7">IF(T18=0,0,X18/T18)</f>
        <v>-0.18951487879419077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7735.4699999999993</v>
      </c>
      <c r="E19" s="1"/>
      <c r="F19" s="5">
        <f t="shared" si="0"/>
        <v>0</v>
      </c>
      <c r="G19" s="1"/>
      <c r="H19" s="1">
        <f>SUM(OSRRefH22_0x_0)</f>
        <v>7534.9339018769288</v>
      </c>
      <c r="I19" s="1"/>
      <c r="J19" s="5">
        <f t="shared" si="1"/>
        <v>0</v>
      </c>
      <c r="K19" s="1"/>
      <c r="L19" s="1">
        <f t="shared" si="2"/>
        <v>200.53609812307059</v>
      </c>
      <c r="M19" s="1"/>
      <c r="N19" s="5">
        <f t="shared" si="3"/>
        <v>2.6614181455940533E-2</v>
      </c>
      <c r="O19" s="14"/>
      <c r="P19" s="1">
        <f>SUM(OSRRefP22_0x_0)</f>
        <v>42540.499999999993</v>
      </c>
      <c r="Q19" s="1"/>
      <c r="R19" s="5">
        <f t="shared" si="4"/>
        <v>0</v>
      </c>
      <c r="S19" s="1"/>
      <c r="T19" s="1">
        <f>SUM(OSRRefT22_0x_0)</f>
        <v>46030.00891532308</v>
      </c>
      <c r="U19" s="1"/>
      <c r="V19" s="5">
        <f t="shared" si="5"/>
        <v>0</v>
      </c>
      <c r="W19" s="1"/>
      <c r="X19" s="1">
        <f t="shared" si="6"/>
        <v>-3489.5089153230874</v>
      </c>
      <c r="Y19" s="1"/>
      <c r="Z19" s="5">
        <f t="shared" si="7"/>
        <v>-7.5809433835704806E-2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1393.44</v>
      </c>
      <c r="E20" s="2"/>
      <c r="F20" s="7">
        <f t="shared" si="0"/>
        <v>0</v>
      </c>
      <c r="G20" s="2"/>
      <c r="H20" s="6">
        <v>1590.95202895385</v>
      </c>
      <c r="I20" s="2"/>
      <c r="J20" s="7">
        <f t="shared" si="1"/>
        <v>0</v>
      </c>
      <c r="K20" s="2"/>
      <c r="L20" s="6">
        <f t="shared" si="2"/>
        <v>-197.51202895384995</v>
      </c>
      <c r="M20" s="2"/>
      <c r="N20" s="7">
        <f t="shared" si="3"/>
        <v>-0.12414706751637659</v>
      </c>
      <c r="O20" s="11"/>
      <c r="P20" s="6">
        <v>13237.54</v>
      </c>
      <c r="Q20" s="2"/>
      <c r="R20" s="7">
        <f t="shared" si="4"/>
        <v>0</v>
      </c>
      <c r="S20" s="2"/>
      <c r="T20" s="6">
        <v>12035.36293924617</v>
      </c>
      <c r="U20" s="2"/>
      <c r="V20" s="7">
        <f t="shared" si="5"/>
        <v>0</v>
      </c>
      <c r="W20" s="2"/>
      <c r="X20" s="6">
        <f t="shared" si="6"/>
        <v>1202.177060753831</v>
      </c>
      <c r="Y20" s="2"/>
      <c r="Z20" s="7">
        <f t="shared" si="7"/>
        <v>9.988706338332734E-2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841.14</v>
      </c>
      <c r="E21" s="2"/>
      <c r="F21" s="7">
        <f t="shared" si="0"/>
        <v>0</v>
      </c>
      <c r="G21" s="2"/>
      <c r="H21" s="6">
        <v>528.88921384615401</v>
      </c>
      <c r="I21" s="2"/>
      <c r="J21" s="7">
        <f t="shared" si="1"/>
        <v>0</v>
      </c>
      <c r="K21" s="2"/>
      <c r="L21" s="6">
        <f t="shared" si="2"/>
        <v>312.25078615384598</v>
      </c>
      <c r="M21" s="2"/>
      <c r="N21" s="7">
        <f t="shared" si="3"/>
        <v>0.59038977914318946</v>
      </c>
      <c r="O21" s="11"/>
      <c r="P21" s="6">
        <v>3787.93</v>
      </c>
      <c r="Q21" s="2"/>
      <c r="R21" s="7">
        <f t="shared" si="4"/>
        <v>0</v>
      </c>
      <c r="S21" s="2"/>
      <c r="T21" s="6">
        <v>4301.7418011538402</v>
      </c>
      <c r="U21" s="2"/>
      <c r="V21" s="7">
        <f t="shared" si="5"/>
        <v>0</v>
      </c>
      <c r="W21" s="2"/>
      <c r="X21" s="6">
        <f t="shared" si="6"/>
        <v>-513.81180115384041</v>
      </c>
      <c r="Y21" s="2"/>
      <c r="Z21" s="7">
        <f t="shared" si="7"/>
        <v>-0.11944273387492076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1588.12</v>
      </c>
      <c r="E22" s="2"/>
      <c r="F22" s="7">
        <f t="shared" si="0"/>
        <v>0</v>
      </c>
      <c r="G22" s="2"/>
      <c r="H22" s="6">
        <v>3355.9615384615399</v>
      </c>
      <c r="I22" s="2"/>
      <c r="J22" s="7">
        <f t="shared" si="1"/>
        <v>0</v>
      </c>
      <c r="K22" s="2"/>
      <c r="L22" s="6">
        <f t="shared" si="2"/>
        <v>-1767.84153846154</v>
      </c>
      <c r="M22" s="2"/>
      <c r="N22" s="7">
        <f t="shared" si="3"/>
        <v>-0.52677645980173082</v>
      </c>
      <c r="O22" s="11"/>
      <c r="P22" s="6">
        <v>8123.78</v>
      </c>
      <c r="Q22" s="2"/>
      <c r="R22" s="7">
        <f t="shared" si="4"/>
        <v>0</v>
      </c>
      <c r="S22" s="2"/>
      <c r="T22" s="6">
        <v>17419.038461538461</v>
      </c>
      <c r="U22" s="2"/>
      <c r="V22" s="7">
        <f t="shared" si="5"/>
        <v>0</v>
      </c>
      <c r="W22" s="2"/>
      <c r="X22" s="6">
        <f t="shared" si="6"/>
        <v>-9295.2584615384621</v>
      </c>
      <c r="Y22" s="2"/>
      <c r="Z22" s="7">
        <f t="shared" si="7"/>
        <v>-0.53362638139083018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144.61000000000001</v>
      </c>
      <c r="E23" s="2"/>
      <c r="F23" s="7">
        <f t="shared" si="0"/>
        <v>0</v>
      </c>
      <c r="G23" s="2"/>
      <c r="H23" s="6">
        <v>74.330376000000001</v>
      </c>
      <c r="I23" s="2"/>
      <c r="J23" s="7">
        <f t="shared" si="1"/>
        <v>0</v>
      </c>
      <c r="K23" s="2"/>
      <c r="L23" s="6">
        <f t="shared" si="2"/>
        <v>70.279624000000013</v>
      </c>
      <c r="M23" s="2"/>
      <c r="N23" s="7">
        <f t="shared" si="3"/>
        <v>0.94550341034195784</v>
      </c>
      <c r="O23" s="11"/>
      <c r="P23" s="6">
        <v>599.66999999999996</v>
      </c>
      <c r="Q23" s="2"/>
      <c r="R23" s="7">
        <f t="shared" si="4"/>
        <v>0</v>
      </c>
      <c r="S23" s="2"/>
      <c r="T23" s="6">
        <v>604.569118</v>
      </c>
      <c r="U23" s="2"/>
      <c r="V23" s="7">
        <f t="shared" si="5"/>
        <v>0</v>
      </c>
      <c r="W23" s="2"/>
      <c r="X23" s="6">
        <f t="shared" si="6"/>
        <v>-4.899118000000044</v>
      </c>
      <c r="Y23" s="2"/>
      <c r="Z23" s="7">
        <f t="shared" si="7"/>
        <v>-8.1034870193287707E-3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1850.14</v>
      </c>
      <c r="E24" s="2"/>
      <c r="F24" s="7">
        <f t="shared" si="0"/>
        <v>0</v>
      </c>
      <c r="G24" s="2"/>
      <c r="H24" s="6">
        <v>731.74012923076907</v>
      </c>
      <c r="I24" s="2"/>
      <c r="J24" s="7">
        <f t="shared" si="1"/>
        <v>0</v>
      </c>
      <c r="K24" s="2"/>
      <c r="L24" s="6">
        <f t="shared" si="2"/>
        <v>1118.399870769231</v>
      </c>
      <c r="M24" s="2"/>
      <c r="N24" s="7">
        <f t="shared" si="3"/>
        <v>1.5284112844062991</v>
      </c>
      <c r="O24" s="11"/>
      <c r="P24" s="6">
        <v>6535.86</v>
      </c>
      <c r="Q24" s="2"/>
      <c r="R24" s="7">
        <f t="shared" si="4"/>
        <v>0</v>
      </c>
      <c r="S24" s="2"/>
      <c r="T24" s="6">
        <v>4024.5707107692306</v>
      </c>
      <c r="U24" s="2"/>
      <c r="V24" s="7">
        <f t="shared" si="5"/>
        <v>0</v>
      </c>
      <c r="W24" s="2"/>
      <c r="X24" s="6">
        <f t="shared" si="6"/>
        <v>2511.2892892307691</v>
      </c>
      <c r="Y24" s="2"/>
      <c r="Z24" s="7">
        <f t="shared" si="7"/>
        <v>0.62398935680540635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1008.09</v>
      </c>
      <c r="E26" s="2"/>
      <c r="F26" s="7">
        <f t="shared" si="0"/>
        <v>0</v>
      </c>
      <c r="G26" s="2"/>
      <c r="H26" s="6">
        <v>545.43030769230802</v>
      </c>
      <c r="I26" s="2"/>
      <c r="J26" s="7">
        <f t="shared" si="1"/>
        <v>0</v>
      </c>
      <c r="K26" s="2"/>
      <c r="L26" s="6">
        <f t="shared" si="2"/>
        <v>462.65969230769201</v>
      </c>
      <c r="M26" s="2"/>
      <c r="N26" s="7">
        <f t="shared" si="3"/>
        <v>0.84824712851983808</v>
      </c>
      <c r="O26" s="11"/>
      <c r="P26" s="6">
        <v>5343.71</v>
      </c>
      <c r="Q26" s="2"/>
      <c r="R26" s="7">
        <f t="shared" si="4"/>
        <v>0</v>
      </c>
      <c r="S26" s="2"/>
      <c r="T26" s="6">
        <v>2999.8666923076939</v>
      </c>
      <c r="U26" s="2"/>
      <c r="V26" s="7">
        <f t="shared" si="5"/>
        <v>0</v>
      </c>
      <c r="W26" s="2"/>
      <c r="X26" s="6">
        <f t="shared" si="6"/>
        <v>2343.8433076923061</v>
      </c>
      <c r="Y26" s="2"/>
      <c r="Z26" s="7">
        <f t="shared" si="7"/>
        <v>0.78131582103379016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712.99</v>
      </c>
      <c r="E27" s="2"/>
      <c r="F27" s="7">
        <f t="shared" si="0"/>
        <v>0</v>
      </c>
      <c r="G27" s="2"/>
      <c r="H27" s="6">
        <v>707.63030769230795</v>
      </c>
      <c r="I27" s="2"/>
      <c r="J27" s="7">
        <f t="shared" si="1"/>
        <v>0</v>
      </c>
      <c r="K27" s="2"/>
      <c r="L27" s="6">
        <f t="shared" si="2"/>
        <v>5.3596923076920575</v>
      </c>
      <c r="M27" s="2"/>
      <c r="N27" s="7">
        <f t="shared" si="3"/>
        <v>7.5741418215548801E-3</v>
      </c>
      <c r="O27" s="11"/>
      <c r="P27" s="6">
        <v>3628.34</v>
      </c>
      <c r="Q27" s="2"/>
      <c r="R27" s="7">
        <f t="shared" si="4"/>
        <v>0</v>
      </c>
      <c r="S27" s="2"/>
      <c r="T27" s="6">
        <v>4644.859192307691</v>
      </c>
      <c r="U27" s="2"/>
      <c r="V27" s="7">
        <f t="shared" si="5"/>
        <v>0</v>
      </c>
      <c r="W27" s="2"/>
      <c r="X27" s="6">
        <f t="shared" si="6"/>
        <v>-1016.5191923076909</v>
      </c>
      <c r="Y27" s="2"/>
      <c r="Z27" s="7">
        <f t="shared" si="7"/>
        <v>-0.21884822558047379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196.94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196.94</v>
      </c>
      <c r="M28" s="2"/>
      <c r="N28" s="7">
        <f t="shared" si="3"/>
        <v>0</v>
      </c>
      <c r="O28" s="11"/>
      <c r="P28" s="6">
        <v>881.77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881.77</v>
      </c>
      <c r="Y28" s="2"/>
      <c r="Z28" s="7">
        <f t="shared" si="7"/>
        <v>0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26933.769999999997</v>
      </c>
      <c r="E29" s="1"/>
      <c r="F29" s="5">
        <f t="shared" ref="F29:F39" si="8">IF(D$12=0,0,D29/D$12)</f>
        <v>0</v>
      </c>
      <c r="G29" s="1"/>
      <c r="H29" s="1">
        <f>SUM(OSRRefH22_1x_0)</f>
        <v>27537.745538461539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-603.97553846154187</v>
      </c>
      <c r="M29" s="1"/>
      <c r="N29" s="5">
        <f t="shared" ref="N29:N39" si="11">IF(H29=0,0,L29/H29)</f>
        <v>-2.1932642874413183E-2</v>
      </c>
      <c r="O29" s="14"/>
      <c r="P29" s="1">
        <f>SUM(OSRRefP22_1x_0)</f>
        <v>208563.39</v>
      </c>
      <c r="Q29" s="1"/>
      <c r="R29" s="5">
        <f t="shared" ref="R29:R39" si="12">IF(P$12=0,0,P29/P$12)</f>
        <v>0</v>
      </c>
      <c r="S29" s="1"/>
      <c r="T29" s="1">
        <f>SUM(OSRRefT22_1x_0)</f>
        <v>226746.85046153847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-18183.46046153846</v>
      </c>
      <c r="Y29" s="1"/>
      <c r="Z29" s="5">
        <f t="shared" ref="Z29:Z39" si="15">IF(T29=0,0,X29/T29)</f>
        <v>-8.0192780735548946E-2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3995.45</v>
      </c>
      <c r="E30" s="2"/>
      <c r="F30" s="7">
        <f t="shared" si="8"/>
        <v>0</v>
      </c>
      <c r="G30" s="2"/>
      <c r="H30" s="6">
        <v>3807.6923076923099</v>
      </c>
      <c r="I30" s="2"/>
      <c r="J30" s="7">
        <f t="shared" si="9"/>
        <v>0</v>
      </c>
      <c r="K30" s="2"/>
      <c r="L30" s="6">
        <f t="shared" si="10"/>
        <v>187.75769230768992</v>
      </c>
      <c r="M30" s="2"/>
      <c r="N30" s="7">
        <f t="shared" si="11"/>
        <v>4.9310101010100353E-2</v>
      </c>
      <c r="O30" s="11"/>
      <c r="P30" s="6">
        <v>21449.27</v>
      </c>
      <c r="Q30" s="2"/>
      <c r="R30" s="7">
        <f t="shared" si="12"/>
        <v>0</v>
      </c>
      <c r="S30" s="2"/>
      <c r="T30" s="6">
        <v>20942.30769230771</v>
      </c>
      <c r="U30" s="2"/>
      <c r="V30" s="7">
        <f t="shared" si="13"/>
        <v>0</v>
      </c>
      <c r="W30" s="2"/>
      <c r="X30" s="6">
        <f t="shared" si="14"/>
        <v>506.96230769229078</v>
      </c>
      <c r="Y30" s="2"/>
      <c r="Z30" s="7">
        <f t="shared" si="15"/>
        <v>2.4207566574838475E-2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>
        <v>7220.99</v>
      </c>
      <c r="E31" s="2"/>
      <c r="F31" s="7">
        <f t="shared" si="8"/>
        <v>0</v>
      </c>
      <c r="G31" s="2"/>
      <c r="H31" s="6">
        <v>3850.0532307692297</v>
      </c>
      <c r="I31" s="2"/>
      <c r="J31" s="7">
        <f t="shared" si="9"/>
        <v>0</v>
      </c>
      <c r="K31" s="2"/>
      <c r="L31" s="6">
        <f t="shared" si="10"/>
        <v>3370.9367692307701</v>
      </c>
      <c r="M31" s="2"/>
      <c r="N31" s="7">
        <f t="shared" si="11"/>
        <v>0.87555588642011228</v>
      </c>
      <c r="O31" s="11"/>
      <c r="P31" s="6">
        <v>42995.360000000001</v>
      </c>
      <c r="Q31" s="2"/>
      <c r="R31" s="7">
        <f t="shared" si="12"/>
        <v>0</v>
      </c>
      <c r="S31" s="2"/>
      <c r="T31" s="6">
        <v>21175.292769230768</v>
      </c>
      <c r="U31" s="2"/>
      <c r="V31" s="7">
        <f t="shared" si="13"/>
        <v>0</v>
      </c>
      <c r="W31" s="2"/>
      <c r="X31" s="6">
        <f t="shared" si="14"/>
        <v>21820.067230769233</v>
      </c>
      <c r="Y31" s="2"/>
      <c r="Z31" s="7">
        <f t="shared" si="15"/>
        <v>1.0304493764768801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>
        <v>1330.8</v>
      </c>
      <c r="E33" s="2"/>
      <c r="F33" s="7">
        <f t="shared" si="8"/>
        <v>0</v>
      </c>
      <c r="G33" s="2"/>
      <c r="H33" s="6">
        <v>12080</v>
      </c>
      <c r="I33" s="2"/>
      <c r="J33" s="7">
        <f t="shared" si="9"/>
        <v>0</v>
      </c>
      <c r="K33" s="2"/>
      <c r="L33" s="6">
        <f t="shared" si="10"/>
        <v>-10749.2</v>
      </c>
      <c r="M33" s="2"/>
      <c r="N33" s="7">
        <f t="shared" si="11"/>
        <v>-0.88983443708609278</v>
      </c>
      <c r="O33" s="11"/>
      <c r="P33" s="6">
        <v>4796.3999999999996</v>
      </c>
      <c r="Q33" s="2"/>
      <c r="R33" s="7">
        <f t="shared" si="12"/>
        <v>0</v>
      </c>
      <c r="S33" s="2"/>
      <c r="T33" s="6">
        <v>66440</v>
      </c>
      <c r="U33" s="2"/>
      <c r="V33" s="7">
        <f t="shared" si="13"/>
        <v>0</v>
      </c>
      <c r="W33" s="2"/>
      <c r="X33" s="6">
        <f t="shared" si="14"/>
        <v>-61643.6</v>
      </c>
      <c r="Y33" s="2"/>
      <c r="Z33" s="7">
        <f t="shared" si="15"/>
        <v>-0.92780854906682719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2492.1799999999998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2492.1799999999998</v>
      </c>
      <c r="M34" s="2"/>
      <c r="N34" s="7">
        <f t="shared" si="11"/>
        <v>0</v>
      </c>
      <c r="O34" s="11"/>
      <c r="P34" s="6">
        <v>43578.75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43578.75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>
        <v>1048.44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1048.44</v>
      </c>
      <c r="M35" s="2"/>
      <c r="N35" s="7">
        <f t="shared" si="11"/>
        <v>0</v>
      </c>
      <c r="O35" s="11"/>
      <c r="P35" s="6">
        <v>8053.32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8053.32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>
        <v>10845.91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10845.91</v>
      </c>
      <c r="M36" s="2"/>
      <c r="N36" s="7">
        <f t="shared" si="11"/>
        <v>0</v>
      </c>
      <c r="O36" s="11"/>
      <c r="P36" s="6">
        <v>87690.290000000008</v>
      </c>
      <c r="Q36" s="2"/>
      <c r="R36" s="7">
        <f t="shared" si="12"/>
        <v>0</v>
      </c>
      <c r="S36" s="2"/>
      <c r="T36" s="6">
        <v>42926</v>
      </c>
      <c r="U36" s="2"/>
      <c r="V36" s="7">
        <f t="shared" si="13"/>
        <v>0</v>
      </c>
      <c r="W36" s="2"/>
      <c r="X36" s="6">
        <f t="shared" si="14"/>
        <v>44764.290000000008</v>
      </c>
      <c r="Y36" s="2"/>
      <c r="Z36" s="7">
        <f t="shared" si="15"/>
        <v>1.0428246284303222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7800</v>
      </c>
      <c r="I37" s="2"/>
      <c r="J37" s="7">
        <f t="shared" si="9"/>
        <v>0</v>
      </c>
      <c r="K37" s="2"/>
      <c r="L37" s="6">
        <f t="shared" si="10"/>
        <v>-7800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75263.25</v>
      </c>
      <c r="U37" s="2"/>
      <c r="V37" s="7">
        <f t="shared" si="13"/>
        <v>0</v>
      </c>
      <c r="W37" s="2"/>
      <c r="X37" s="6">
        <f t="shared" si="14"/>
        <v>-75263.25</v>
      </c>
      <c r="Y37" s="2"/>
      <c r="Z37" s="7">
        <f t="shared" si="15"/>
        <v>-1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100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100</v>
      </c>
      <c r="M40" s="1"/>
      <c r="N40" s="5">
        <f t="shared" ref="N40:N44" si="19">IF(H40=0,0,L40/H40)</f>
        <v>0</v>
      </c>
      <c r="O40" s="14"/>
      <c r="P40" s="1">
        <f>SUM(OSRRefP22_2x_0)</f>
        <v>100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100</v>
      </c>
      <c r="Y40" s="1"/>
      <c r="Z40" s="5">
        <f t="shared" ref="Z40:Z44" si="23">IF(T40=0,0,X40/T40)</f>
        <v>0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6">
        <v>100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100</v>
      </c>
      <c r="M41" s="2"/>
      <c r="N41" s="7">
        <f t="shared" si="19"/>
        <v>0</v>
      </c>
      <c r="O41" s="11"/>
      <c r="P41" s="6">
        <v>100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100</v>
      </c>
      <c r="Y41" s="2"/>
      <c r="Z41" s="7">
        <f t="shared" si="23"/>
        <v>0</v>
      </c>
    </row>
    <row r="42" spans="1:26" s="29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1.22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-98.78</v>
      </c>
      <c r="M42" s="1"/>
      <c r="N42" s="5">
        <f t="shared" si="19"/>
        <v>-0.98780000000000001</v>
      </c>
      <c r="O42" s="14"/>
      <c r="P42" s="1">
        <f>SUM(OSRRefP22_3x_0)</f>
        <v>51.21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-448.79</v>
      </c>
      <c r="Y42" s="1"/>
      <c r="Z42" s="5">
        <f t="shared" si="23"/>
        <v>-0.89758000000000004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6">
        <v>1.22</v>
      </c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-48.78</v>
      </c>
      <c r="M43" s="2"/>
      <c r="N43" s="7">
        <f t="shared" si="19"/>
        <v>-0.97560000000000002</v>
      </c>
      <c r="O43" s="11"/>
      <c r="P43" s="6">
        <v>51.21</v>
      </c>
      <c r="Q43" s="2"/>
      <c r="R43" s="7">
        <f t="shared" si="20"/>
        <v>0</v>
      </c>
      <c r="S43" s="2"/>
      <c r="T43" s="6">
        <v>250</v>
      </c>
      <c r="U43" s="2"/>
      <c r="V43" s="7">
        <f t="shared" si="21"/>
        <v>0</v>
      </c>
      <c r="W43" s="2"/>
      <c r="X43" s="6">
        <f t="shared" si="22"/>
        <v>-198.79</v>
      </c>
      <c r="Y43" s="2"/>
      <c r="Z43" s="7">
        <f t="shared" si="23"/>
        <v>-0.79515999999999998</v>
      </c>
    </row>
    <row r="44" spans="1:26" s="24" customFormat="1" hidden="1" outlineLevel="2" x14ac:dyDescent="0.25">
      <c r="A44" s="28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>
        <v>50</v>
      </c>
      <c r="I44" s="2"/>
      <c r="J44" s="7">
        <f t="shared" si="17"/>
        <v>0</v>
      </c>
      <c r="K44" s="2"/>
      <c r="L44" s="6">
        <f t="shared" si="18"/>
        <v>-50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250</v>
      </c>
      <c r="U44" s="2"/>
      <c r="V44" s="7">
        <f t="shared" si="21"/>
        <v>0</v>
      </c>
      <c r="W44" s="2"/>
      <c r="X44" s="6">
        <f t="shared" si="22"/>
        <v>-250</v>
      </c>
      <c r="Y44" s="2"/>
      <c r="Z44" s="7">
        <f t="shared" si="23"/>
        <v>-1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2127.38</v>
      </c>
      <c r="E45" s="1"/>
      <c r="F45" s="5">
        <f t="shared" ref="F45:F49" si="24">IF(D$12=0,0,D45/D$12)</f>
        <v>0</v>
      </c>
      <c r="G45" s="1"/>
      <c r="H45" s="1">
        <f>SUM(OSRRefH22_4x_0)</f>
        <v>8000</v>
      </c>
      <c r="I45" s="1"/>
      <c r="J45" s="5">
        <f t="shared" ref="J45:J49" si="25">IF(H$12=0,0,H45/H$12)</f>
        <v>0</v>
      </c>
      <c r="K45" s="1"/>
      <c r="L45" s="1">
        <f t="shared" ref="L45:L49" si="26">+D45-H45</f>
        <v>-5872.62</v>
      </c>
      <c r="M45" s="1"/>
      <c r="N45" s="5">
        <f t="shared" ref="N45:N49" si="27">IF(H45=0,0,L45/H45)</f>
        <v>-0.73407749999999994</v>
      </c>
      <c r="O45" s="14"/>
      <c r="P45" s="1">
        <f>SUM(OSRRefP22_4x_0)</f>
        <v>39909.46</v>
      </c>
      <c r="Q45" s="1"/>
      <c r="R45" s="5">
        <f t="shared" ref="R45:R49" si="28">IF(P$12=0,0,P45/P$12)</f>
        <v>0</v>
      </c>
      <c r="S45" s="1"/>
      <c r="T45" s="1">
        <f>SUM(OSRRefT22_4x_0)</f>
        <v>84000</v>
      </c>
      <c r="U45" s="1"/>
      <c r="V45" s="5">
        <f t="shared" ref="V45:V49" si="29">IF(T$12=0,0,T45/T$12)</f>
        <v>0</v>
      </c>
      <c r="W45" s="1"/>
      <c r="X45" s="1">
        <f t="shared" ref="X45:X49" si="30">+P45-T45</f>
        <v>-44090.54</v>
      </c>
      <c r="Y45" s="1"/>
      <c r="Z45" s="5">
        <f t="shared" ref="Z45:Z49" si="31">IF(T45=0,0,X45/T45)</f>
        <v>-0.52488738095238097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>
        <v>2127.38</v>
      </c>
      <c r="E46" s="2"/>
      <c r="F46" s="7">
        <f t="shared" si="24"/>
        <v>0</v>
      </c>
      <c r="G46" s="2"/>
      <c r="H46" s="6">
        <v>8000</v>
      </c>
      <c r="I46" s="2"/>
      <c r="J46" s="7">
        <f t="shared" si="25"/>
        <v>0</v>
      </c>
      <c r="K46" s="2"/>
      <c r="L46" s="6">
        <f t="shared" si="26"/>
        <v>-5872.62</v>
      </c>
      <c r="M46" s="2"/>
      <c r="N46" s="7">
        <f t="shared" si="27"/>
        <v>-0.73407749999999994</v>
      </c>
      <c r="O46" s="11"/>
      <c r="P46" s="6">
        <v>39909.46</v>
      </c>
      <c r="Q46" s="2"/>
      <c r="R46" s="7">
        <f t="shared" si="28"/>
        <v>0</v>
      </c>
      <c r="S46" s="2"/>
      <c r="T46" s="6">
        <v>84000</v>
      </c>
      <c r="U46" s="2"/>
      <c r="V46" s="7">
        <f t="shared" si="29"/>
        <v>0</v>
      </c>
      <c r="W46" s="2"/>
      <c r="X46" s="6">
        <f t="shared" si="30"/>
        <v>-44090.54</v>
      </c>
      <c r="Y46" s="2"/>
      <c r="Z46" s="7">
        <f t="shared" si="31"/>
        <v>-0.52488738095238097</v>
      </c>
    </row>
    <row r="47" spans="1:26" s="29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30565.97</v>
      </c>
      <c r="E47" s="1"/>
      <c r="F47" s="5">
        <f t="shared" si="24"/>
        <v>0</v>
      </c>
      <c r="G47" s="1"/>
      <c r="H47" s="1">
        <f>SUM(OSRRefH22_5x_0)</f>
        <v>30124</v>
      </c>
      <c r="I47" s="1"/>
      <c r="J47" s="5">
        <f t="shared" si="25"/>
        <v>0</v>
      </c>
      <c r="K47" s="1"/>
      <c r="L47" s="1">
        <f t="shared" si="26"/>
        <v>441.97000000000116</v>
      </c>
      <c r="M47" s="1"/>
      <c r="N47" s="5">
        <f t="shared" si="27"/>
        <v>1.4671690346567559E-2</v>
      </c>
      <c r="O47" s="14"/>
      <c r="P47" s="1">
        <f>SUM(OSRRefP22_5x_0)</f>
        <v>153125.33999999997</v>
      </c>
      <c r="Q47" s="1"/>
      <c r="R47" s="5">
        <f t="shared" si="28"/>
        <v>0</v>
      </c>
      <c r="S47" s="1"/>
      <c r="T47" s="1">
        <f>SUM(OSRRefT22_5x_0)</f>
        <v>151628</v>
      </c>
      <c r="U47" s="1"/>
      <c r="V47" s="5">
        <f t="shared" si="29"/>
        <v>0</v>
      </c>
      <c r="W47" s="1"/>
      <c r="X47" s="1">
        <f t="shared" si="30"/>
        <v>1497.3399999999674</v>
      </c>
      <c r="Y47" s="1"/>
      <c r="Z47" s="5">
        <f t="shared" si="31"/>
        <v>9.8750890336874939E-3</v>
      </c>
    </row>
    <row r="48" spans="1:26" s="24" customFormat="1" hidden="1" outlineLevel="2" x14ac:dyDescent="0.25">
      <c r="A48" s="28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16396.52</v>
      </c>
      <c r="M48" s="2"/>
      <c r="N48" s="7">
        <f t="shared" si="27"/>
        <v>0</v>
      </c>
      <c r="O48" s="11"/>
      <c r="P48" s="6">
        <v>81982.599999999991</v>
      </c>
      <c r="Q48" s="2"/>
      <c r="R48" s="7">
        <f t="shared" si="28"/>
        <v>0</v>
      </c>
      <c r="S48" s="2"/>
      <c r="T48" s="6"/>
      <c r="U48" s="2"/>
      <c r="V48" s="7">
        <f t="shared" si="29"/>
        <v>0</v>
      </c>
      <c r="W48" s="2"/>
      <c r="X48" s="6">
        <f t="shared" si="30"/>
        <v>81982.599999999991</v>
      </c>
      <c r="Y48" s="2"/>
      <c r="Z48" s="7">
        <f t="shared" si="31"/>
        <v>0</v>
      </c>
    </row>
    <row r="49" spans="1:26" s="24" customFormat="1" hidden="1" outlineLevel="2" x14ac:dyDescent="0.25">
      <c r="A49" s="28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14169.45</v>
      </c>
      <c r="E49" s="2"/>
      <c r="F49" s="7">
        <f t="shared" si="24"/>
        <v>0</v>
      </c>
      <c r="G49" s="2"/>
      <c r="H49" s="6">
        <v>30124</v>
      </c>
      <c r="I49" s="2"/>
      <c r="J49" s="7">
        <f t="shared" si="25"/>
        <v>0</v>
      </c>
      <c r="K49" s="2"/>
      <c r="L49" s="6">
        <f t="shared" si="26"/>
        <v>-15954.55</v>
      </c>
      <c r="M49" s="2"/>
      <c r="N49" s="7">
        <f t="shared" si="27"/>
        <v>-0.52962919930952057</v>
      </c>
      <c r="O49" s="11"/>
      <c r="P49" s="6">
        <v>71142.739999999991</v>
      </c>
      <c r="Q49" s="2"/>
      <c r="R49" s="7">
        <f t="shared" si="28"/>
        <v>0</v>
      </c>
      <c r="S49" s="2"/>
      <c r="T49" s="6">
        <v>151628</v>
      </c>
      <c r="U49" s="2"/>
      <c r="V49" s="7">
        <f t="shared" si="29"/>
        <v>0</v>
      </c>
      <c r="W49" s="2"/>
      <c r="X49" s="6">
        <f t="shared" si="30"/>
        <v>-80485.260000000009</v>
      </c>
      <c r="Y49" s="2"/>
      <c r="Z49" s="7">
        <f t="shared" si="31"/>
        <v>-0.5308073706703248</v>
      </c>
    </row>
    <row r="50" spans="1:26" s="29" customFormat="1" outlineLevel="1" collapsed="1" x14ac:dyDescent="0.25">
      <c r="A50" s="27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SUM(OSRRefD22_6x_0)</f>
        <v>0</v>
      </c>
      <c r="E50" s="1"/>
      <c r="F50" s="5">
        <f t="shared" ref="F50:F70" si="32">IF(D$12=0,0,D50/D$12)</f>
        <v>0</v>
      </c>
      <c r="G50" s="1"/>
      <c r="H50" s="1">
        <f>SUM(OSRRefH22_6x_0)</f>
        <v>1000</v>
      </c>
      <c r="I50" s="1"/>
      <c r="J50" s="5">
        <f t="shared" ref="J50:J70" si="33">IF(H$12=0,0,H50/H$12)</f>
        <v>0</v>
      </c>
      <c r="K50" s="1"/>
      <c r="L50" s="1">
        <f t="shared" ref="L50:L70" si="34">+D50-H50</f>
        <v>-1000</v>
      </c>
      <c r="M50" s="1"/>
      <c r="N50" s="5">
        <f t="shared" ref="N50:N70" si="35">IF(H50=0,0,L50/H50)</f>
        <v>-1</v>
      </c>
      <c r="O50" s="14"/>
      <c r="P50" s="1">
        <f>SUM(OSRRefP22_6x_0)</f>
        <v>0</v>
      </c>
      <c r="Q50" s="1"/>
      <c r="R50" s="5">
        <f t="shared" ref="R50:R70" si="36">IF(P$12=0,0,P50/P$12)</f>
        <v>0</v>
      </c>
      <c r="S50" s="1"/>
      <c r="T50" s="1">
        <f>SUM(OSRRefT22_6x_0)</f>
        <v>5000</v>
      </c>
      <c r="U50" s="1"/>
      <c r="V50" s="5">
        <f t="shared" ref="V50:V70" si="37">IF(T$12=0,0,T50/T$12)</f>
        <v>0</v>
      </c>
      <c r="W50" s="1"/>
      <c r="X50" s="1">
        <f t="shared" ref="X50:X70" si="38">+P50-T50</f>
        <v>-5000</v>
      </c>
      <c r="Y50" s="1"/>
      <c r="Z50" s="5">
        <f t="shared" ref="Z50:Z70" si="39">IF(T50=0,0,X50/T50)</f>
        <v>-1</v>
      </c>
    </row>
    <row r="51" spans="1:26" s="24" customFormat="1" hidden="1" outlineLevel="2" x14ac:dyDescent="0.25">
      <c r="A51" s="28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2"/>
        <v>0</v>
      </c>
      <c r="G51" s="2"/>
      <c r="H51" s="6">
        <v>1000</v>
      </c>
      <c r="I51" s="2"/>
      <c r="J51" s="7">
        <f t="shared" si="33"/>
        <v>0</v>
      </c>
      <c r="K51" s="2"/>
      <c r="L51" s="6">
        <f t="shared" si="34"/>
        <v>-1000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5000</v>
      </c>
      <c r="U51" s="2"/>
      <c r="V51" s="7">
        <f t="shared" si="37"/>
        <v>0</v>
      </c>
      <c r="W51" s="2"/>
      <c r="X51" s="6">
        <f t="shared" si="38"/>
        <v>-5000</v>
      </c>
      <c r="Y51" s="2"/>
      <c r="Z51" s="7">
        <f t="shared" si="39"/>
        <v>-1</v>
      </c>
    </row>
    <row r="52" spans="1:26" s="29" customFormat="1" outlineLevel="1" collapsed="1" x14ac:dyDescent="0.25">
      <c r="A52" s="27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SUM(OSRRefD22_7x_0)</f>
        <v>0</v>
      </c>
      <c r="E52" s="1"/>
      <c r="F52" s="5">
        <f t="shared" si="32"/>
        <v>0</v>
      </c>
      <c r="G52" s="1"/>
      <c r="H52" s="1">
        <f>SUM(OSRRefH22_7x_0)</f>
        <v>125</v>
      </c>
      <c r="I52" s="1"/>
      <c r="J52" s="5">
        <f t="shared" si="33"/>
        <v>0</v>
      </c>
      <c r="K52" s="1"/>
      <c r="L52" s="1">
        <f t="shared" si="34"/>
        <v>-125</v>
      </c>
      <c r="M52" s="1"/>
      <c r="N52" s="5">
        <f t="shared" si="35"/>
        <v>-1</v>
      </c>
      <c r="O52" s="14"/>
      <c r="P52" s="1">
        <f>SUM(OSRRefP22_7x_0)</f>
        <v>0</v>
      </c>
      <c r="Q52" s="1"/>
      <c r="R52" s="5">
        <f t="shared" si="36"/>
        <v>0</v>
      </c>
      <c r="S52" s="1"/>
      <c r="T52" s="1">
        <f>SUM(OSRRefT22_7x_0)</f>
        <v>675</v>
      </c>
      <c r="U52" s="1"/>
      <c r="V52" s="5">
        <f t="shared" si="37"/>
        <v>0</v>
      </c>
      <c r="W52" s="1"/>
      <c r="X52" s="1">
        <f t="shared" si="38"/>
        <v>-675</v>
      </c>
      <c r="Y52" s="1"/>
      <c r="Z52" s="5">
        <f t="shared" si="39"/>
        <v>-1</v>
      </c>
    </row>
    <row r="53" spans="1:26" s="24" customFormat="1" hidden="1" outlineLevel="2" x14ac:dyDescent="0.25">
      <c r="A53" s="28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2"/>
        <v>0</v>
      </c>
      <c r="G53" s="2"/>
      <c r="H53" s="6">
        <v>125</v>
      </c>
      <c r="I53" s="2"/>
      <c r="J53" s="7">
        <f t="shared" si="33"/>
        <v>0</v>
      </c>
      <c r="K53" s="2"/>
      <c r="L53" s="6">
        <f t="shared" si="34"/>
        <v>-125</v>
      </c>
      <c r="M53" s="2"/>
      <c r="N53" s="7">
        <f t="shared" si="35"/>
        <v>-1</v>
      </c>
      <c r="O53" s="11"/>
      <c r="P53" s="6"/>
      <c r="Q53" s="2"/>
      <c r="R53" s="7">
        <f t="shared" si="36"/>
        <v>0</v>
      </c>
      <c r="S53" s="2"/>
      <c r="T53" s="6">
        <v>675</v>
      </c>
      <c r="U53" s="2"/>
      <c r="V53" s="7">
        <f t="shared" si="37"/>
        <v>0</v>
      </c>
      <c r="W53" s="2"/>
      <c r="X53" s="6">
        <f t="shared" si="38"/>
        <v>-675</v>
      </c>
      <c r="Y53" s="2"/>
      <c r="Z53" s="7">
        <f t="shared" si="39"/>
        <v>-1</v>
      </c>
    </row>
    <row r="54" spans="1:26" s="29" customFormat="1" outlineLevel="1" collapsed="1" x14ac:dyDescent="0.25">
      <c r="A54" s="27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SUM(OSRRefD22_8x_0)</f>
        <v>415.15</v>
      </c>
      <c r="E54" s="1"/>
      <c r="F54" s="5">
        <f t="shared" si="32"/>
        <v>0</v>
      </c>
      <c r="G54" s="1"/>
      <c r="H54" s="1">
        <f>SUM(OSRRefH22_8x_0)</f>
        <v>1700</v>
      </c>
      <c r="I54" s="1"/>
      <c r="J54" s="5">
        <f t="shared" si="33"/>
        <v>0</v>
      </c>
      <c r="K54" s="1"/>
      <c r="L54" s="1">
        <f t="shared" si="34"/>
        <v>-1284.8499999999999</v>
      </c>
      <c r="M54" s="1"/>
      <c r="N54" s="5">
        <f t="shared" si="35"/>
        <v>-0.75579411764705873</v>
      </c>
      <c r="O54" s="14"/>
      <c r="P54" s="1">
        <f>SUM(OSRRefP22_8x_0)</f>
        <v>1104.08</v>
      </c>
      <c r="Q54" s="1"/>
      <c r="R54" s="5">
        <f t="shared" si="36"/>
        <v>0</v>
      </c>
      <c r="S54" s="1"/>
      <c r="T54" s="1">
        <f>SUM(OSRRefT22_8x_0)</f>
        <v>8500</v>
      </c>
      <c r="U54" s="1"/>
      <c r="V54" s="5">
        <f t="shared" si="37"/>
        <v>0</v>
      </c>
      <c r="W54" s="1"/>
      <c r="X54" s="1">
        <f t="shared" si="38"/>
        <v>-7395.92</v>
      </c>
      <c r="Y54" s="1"/>
      <c r="Z54" s="5">
        <f t="shared" si="39"/>
        <v>-0.87010823529411763</v>
      </c>
    </row>
    <row r="55" spans="1:26" s="24" customFormat="1" hidden="1" outlineLevel="2" x14ac:dyDescent="0.25">
      <c r="A55" s="28"/>
      <c r="B55" s="11" t="str">
        <f>CONCATENATE("          ", "6351", " - ", "EQUIPMENT RENTAL")</f>
        <v xml:space="preserve">          6351 - EQUIPMENT RENTAL</v>
      </c>
      <c r="C55" s="11"/>
      <c r="D55" s="6">
        <v>415.15</v>
      </c>
      <c r="E55" s="2"/>
      <c r="F55" s="7">
        <f t="shared" si="32"/>
        <v>0</v>
      </c>
      <c r="G55" s="2"/>
      <c r="H55" s="6">
        <v>1700</v>
      </c>
      <c r="I55" s="2"/>
      <c r="J55" s="7">
        <f t="shared" si="33"/>
        <v>0</v>
      </c>
      <c r="K55" s="2"/>
      <c r="L55" s="6">
        <f t="shared" si="34"/>
        <v>-1284.8499999999999</v>
      </c>
      <c r="M55" s="2"/>
      <c r="N55" s="7">
        <f t="shared" si="35"/>
        <v>-0.75579411764705873</v>
      </c>
      <c r="O55" s="11"/>
      <c r="P55" s="6">
        <v>1104.08</v>
      </c>
      <c r="Q55" s="2"/>
      <c r="R55" s="7">
        <f t="shared" si="36"/>
        <v>0</v>
      </c>
      <c r="S55" s="2"/>
      <c r="T55" s="6">
        <v>8500</v>
      </c>
      <c r="U55" s="2"/>
      <c r="V55" s="7">
        <f t="shared" si="37"/>
        <v>0</v>
      </c>
      <c r="W55" s="2"/>
      <c r="X55" s="6">
        <f t="shared" si="38"/>
        <v>-7395.92</v>
      </c>
      <c r="Y55" s="2"/>
      <c r="Z55" s="7">
        <f t="shared" si="39"/>
        <v>-0.87010823529411763</v>
      </c>
    </row>
    <row r="56" spans="1:26" s="29" customFormat="1" outlineLevel="1" collapsed="1" x14ac:dyDescent="0.25">
      <c r="A56" s="27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SUM(OSRRefD22_9x_0)</f>
        <v>15.95</v>
      </c>
      <c r="E56" s="1"/>
      <c r="F56" s="5">
        <f t="shared" si="32"/>
        <v>0</v>
      </c>
      <c r="G56" s="1"/>
      <c r="H56" s="1">
        <f>SUM(OSRRefH22_9x_0)</f>
        <v>10</v>
      </c>
      <c r="I56" s="1"/>
      <c r="J56" s="5">
        <f t="shared" si="33"/>
        <v>0</v>
      </c>
      <c r="K56" s="1"/>
      <c r="L56" s="1">
        <f t="shared" si="34"/>
        <v>5.9499999999999993</v>
      </c>
      <c r="M56" s="1"/>
      <c r="N56" s="5">
        <f t="shared" si="35"/>
        <v>0.59499999999999997</v>
      </c>
      <c r="O56" s="14"/>
      <c r="P56" s="1">
        <f>SUM(OSRRefP22_9x_0)</f>
        <v>663.8</v>
      </c>
      <c r="Q56" s="1"/>
      <c r="R56" s="5">
        <f t="shared" si="36"/>
        <v>0</v>
      </c>
      <c r="S56" s="1"/>
      <c r="T56" s="1">
        <f>SUM(OSRRefT22_9x_0)</f>
        <v>50</v>
      </c>
      <c r="U56" s="1"/>
      <c r="V56" s="5">
        <f t="shared" si="37"/>
        <v>0</v>
      </c>
      <c r="W56" s="1"/>
      <c r="X56" s="1">
        <f t="shared" si="38"/>
        <v>613.79999999999995</v>
      </c>
      <c r="Y56" s="1"/>
      <c r="Z56" s="5">
        <f t="shared" si="39"/>
        <v>12.276</v>
      </c>
    </row>
    <row r="57" spans="1:26" s="24" customFormat="1" hidden="1" outlineLevel="2" x14ac:dyDescent="0.25">
      <c r="A57" s="28"/>
      <c r="B57" s="11" t="str">
        <f>CONCATENATE("          ", "6307", " - ", "POSTAGE")</f>
        <v xml:space="preserve">          6307 - POSTAGE</v>
      </c>
      <c r="C57" s="11"/>
      <c r="D57" s="6">
        <v>15.95</v>
      </c>
      <c r="E57" s="2"/>
      <c r="F57" s="7">
        <f t="shared" si="32"/>
        <v>0</v>
      </c>
      <c r="G57" s="2"/>
      <c r="H57" s="6">
        <v>10</v>
      </c>
      <c r="I57" s="2"/>
      <c r="J57" s="7">
        <f t="shared" si="33"/>
        <v>0</v>
      </c>
      <c r="K57" s="2"/>
      <c r="L57" s="6">
        <f t="shared" si="34"/>
        <v>5.9499999999999993</v>
      </c>
      <c r="M57" s="2"/>
      <c r="N57" s="7">
        <f t="shared" si="35"/>
        <v>0.59499999999999997</v>
      </c>
      <c r="O57" s="11"/>
      <c r="P57" s="6">
        <v>663.8</v>
      </c>
      <c r="Q57" s="2"/>
      <c r="R57" s="7">
        <f t="shared" si="36"/>
        <v>0</v>
      </c>
      <c r="S57" s="2"/>
      <c r="T57" s="6">
        <v>50</v>
      </c>
      <c r="U57" s="2"/>
      <c r="V57" s="7">
        <f t="shared" si="37"/>
        <v>0</v>
      </c>
      <c r="W57" s="2"/>
      <c r="X57" s="6">
        <f t="shared" si="38"/>
        <v>613.79999999999995</v>
      </c>
      <c r="Y57" s="2"/>
      <c r="Z57" s="7">
        <f t="shared" si="39"/>
        <v>12.276</v>
      </c>
    </row>
    <row r="58" spans="1:26" s="29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SUM(OSRRefD22_10x_0)</f>
        <v>0</v>
      </c>
      <c r="E58" s="1"/>
      <c r="F58" s="5">
        <f t="shared" si="32"/>
        <v>0</v>
      </c>
      <c r="G58" s="1"/>
      <c r="H58" s="1">
        <f>SUM(OSRRefH22_10x_0)</f>
        <v>500</v>
      </c>
      <c r="I58" s="1"/>
      <c r="J58" s="5">
        <f t="shared" si="33"/>
        <v>0</v>
      </c>
      <c r="K58" s="1"/>
      <c r="L58" s="1">
        <f t="shared" si="34"/>
        <v>-500</v>
      </c>
      <c r="M58" s="1"/>
      <c r="N58" s="5">
        <f t="shared" si="35"/>
        <v>-1</v>
      </c>
      <c r="O58" s="14"/>
      <c r="P58" s="1">
        <f>SUM(OSRRefP22_10x_0)</f>
        <v>867.81</v>
      </c>
      <c r="Q58" s="1"/>
      <c r="R58" s="5">
        <f t="shared" si="36"/>
        <v>0</v>
      </c>
      <c r="S58" s="1"/>
      <c r="T58" s="1">
        <f>SUM(OSRRefT22_10x_0)</f>
        <v>2500</v>
      </c>
      <c r="U58" s="1"/>
      <c r="V58" s="5">
        <f t="shared" si="37"/>
        <v>0</v>
      </c>
      <c r="W58" s="1"/>
      <c r="X58" s="1">
        <f t="shared" si="38"/>
        <v>-1632.19</v>
      </c>
      <c r="Y58" s="1"/>
      <c r="Z58" s="5">
        <f t="shared" si="39"/>
        <v>-0.65287600000000001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2"/>
        <v>0</v>
      </c>
      <c r="G59" s="2"/>
      <c r="H59" s="6">
        <v>500</v>
      </c>
      <c r="I59" s="2"/>
      <c r="J59" s="7">
        <f t="shared" si="33"/>
        <v>0</v>
      </c>
      <c r="K59" s="2"/>
      <c r="L59" s="6">
        <f t="shared" si="34"/>
        <v>-500</v>
      </c>
      <c r="M59" s="2"/>
      <c r="N59" s="7">
        <f t="shared" si="35"/>
        <v>-1</v>
      </c>
      <c r="O59" s="11"/>
      <c r="P59" s="6">
        <v>867.81</v>
      </c>
      <c r="Q59" s="2"/>
      <c r="R59" s="7">
        <f t="shared" si="36"/>
        <v>0</v>
      </c>
      <c r="S59" s="2"/>
      <c r="T59" s="6">
        <v>2500</v>
      </c>
      <c r="U59" s="2"/>
      <c r="V59" s="7">
        <f t="shared" si="37"/>
        <v>0</v>
      </c>
      <c r="W59" s="2"/>
      <c r="X59" s="6">
        <f t="shared" si="38"/>
        <v>-1632.19</v>
      </c>
      <c r="Y59" s="2"/>
      <c r="Z59" s="7">
        <f t="shared" si="39"/>
        <v>-0.65287600000000001</v>
      </c>
    </row>
    <row r="60" spans="1:26" s="29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SUM(OSRRefD22_11x_0)</f>
        <v>3883.56</v>
      </c>
      <c r="E60" s="1"/>
      <c r="F60" s="5">
        <f t="shared" si="32"/>
        <v>0</v>
      </c>
      <c r="G60" s="1"/>
      <c r="H60" s="1">
        <f>SUM(OSRRefH22_11x_0)</f>
        <v>4270</v>
      </c>
      <c r="I60" s="1"/>
      <c r="J60" s="5">
        <f t="shared" si="33"/>
        <v>0</v>
      </c>
      <c r="K60" s="1"/>
      <c r="L60" s="1">
        <f t="shared" si="34"/>
        <v>-386.44000000000005</v>
      </c>
      <c r="M60" s="1"/>
      <c r="N60" s="5">
        <f t="shared" si="35"/>
        <v>-9.0501170960187366E-2</v>
      </c>
      <c r="O60" s="14"/>
      <c r="P60" s="1">
        <f>SUM(OSRRefP22_11x_0)</f>
        <v>19417.8</v>
      </c>
      <c r="Q60" s="1"/>
      <c r="R60" s="5">
        <f t="shared" si="36"/>
        <v>0</v>
      </c>
      <c r="S60" s="1"/>
      <c r="T60" s="1">
        <f>SUM(OSRRefT22_11x_0)</f>
        <v>21350</v>
      </c>
      <c r="U60" s="1"/>
      <c r="V60" s="5">
        <f t="shared" si="37"/>
        <v>0</v>
      </c>
      <c r="W60" s="1"/>
      <c r="X60" s="1">
        <f t="shared" si="38"/>
        <v>-1932.2000000000007</v>
      </c>
      <c r="Y60" s="1"/>
      <c r="Z60" s="5">
        <f t="shared" si="39"/>
        <v>-9.0501170960187394E-2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6">
        <v>3883.56</v>
      </c>
      <c r="E61" s="2"/>
      <c r="F61" s="7">
        <f t="shared" si="32"/>
        <v>0</v>
      </c>
      <c r="G61" s="2"/>
      <c r="H61" s="6">
        <v>4270</v>
      </c>
      <c r="I61" s="2"/>
      <c r="J61" s="7">
        <f t="shared" si="33"/>
        <v>0</v>
      </c>
      <c r="K61" s="2"/>
      <c r="L61" s="6">
        <f t="shared" si="34"/>
        <v>-386.44000000000005</v>
      </c>
      <c r="M61" s="2"/>
      <c r="N61" s="7">
        <f t="shared" si="35"/>
        <v>-9.0501170960187366E-2</v>
      </c>
      <c r="O61" s="11"/>
      <c r="P61" s="6">
        <v>19417.8</v>
      </c>
      <c r="Q61" s="2"/>
      <c r="R61" s="7">
        <f t="shared" si="36"/>
        <v>0</v>
      </c>
      <c r="S61" s="2"/>
      <c r="T61" s="6">
        <v>21350</v>
      </c>
      <c r="U61" s="2"/>
      <c r="V61" s="7">
        <f t="shared" si="37"/>
        <v>0</v>
      </c>
      <c r="W61" s="2"/>
      <c r="X61" s="6">
        <f t="shared" si="38"/>
        <v>-1932.2000000000007</v>
      </c>
      <c r="Y61" s="2"/>
      <c r="Z61" s="7">
        <f t="shared" si="39"/>
        <v>-9.0501170960187394E-2</v>
      </c>
    </row>
    <row r="62" spans="1:26" s="29" customFormat="1" outlineLevel="1" collapsed="1" x14ac:dyDescent="0.25">
      <c r="A62" s="27"/>
      <c r="B62" s="14" t="str">
        <f>CONCATENATE("     ","Inventory Adjustment                              ")</f>
        <v xml:space="preserve">     Inventory Adjustment                              </v>
      </c>
      <c r="C62" s="14"/>
      <c r="D62" s="1">
        <f>SUM(OSRRefD22_12x_0)</f>
        <v>0</v>
      </c>
      <c r="E62" s="1"/>
      <c r="F62" s="5">
        <f t="shared" si="32"/>
        <v>0</v>
      </c>
      <c r="G62" s="1"/>
      <c r="H62" s="1">
        <f>SUM(OSRRefH22_12x_0)</f>
        <v>1000</v>
      </c>
      <c r="I62" s="1"/>
      <c r="J62" s="5">
        <f t="shared" si="33"/>
        <v>0</v>
      </c>
      <c r="K62" s="1"/>
      <c r="L62" s="1">
        <f t="shared" si="34"/>
        <v>-1000</v>
      </c>
      <c r="M62" s="1"/>
      <c r="N62" s="5">
        <f t="shared" si="35"/>
        <v>-1</v>
      </c>
      <c r="O62" s="14"/>
      <c r="P62" s="1">
        <f>SUM(OSRRefP22_12x_0)</f>
        <v>0</v>
      </c>
      <c r="Q62" s="1"/>
      <c r="R62" s="5">
        <f t="shared" si="36"/>
        <v>0</v>
      </c>
      <c r="S62" s="1"/>
      <c r="T62" s="1">
        <f>SUM(OSRRefT22_12x_0)</f>
        <v>5000</v>
      </c>
      <c r="U62" s="1"/>
      <c r="V62" s="5">
        <f t="shared" si="37"/>
        <v>0</v>
      </c>
      <c r="W62" s="1"/>
      <c r="X62" s="1">
        <f t="shared" si="38"/>
        <v>-5000</v>
      </c>
      <c r="Y62" s="1"/>
      <c r="Z62" s="5">
        <f t="shared" si="39"/>
        <v>-1</v>
      </c>
    </row>
    <row r="63" spans="1:26" s="24" customFormat="1" hidden="1" outlineLevel="2" x14ac:dyDescent="0.25">
      <c r="A63" s="28"/>
      <c r="B63" s="11" t="str">
        <f>CONCATENATE("          ", "6408", " - ", "INVENTORY ADJUSTMENT")</f>
        <v xml:space="preserve">          6408 - INVENTORY ADJUSTMENT</v>
      </c>
      <c r="C63" s="11"/>
      <c r="D63" s="6"/>
      <c r="E63" s="2"/>
      <c r="F63" s="7">
        <f t="shared" si="32"/>
        <v>0</v>
      </c>
      <c r="G63" s="2"/>
      <c r="H63" s="6">
        <v>1000</v>
      </c>
      <c r="I63" s="2"/>
      <c r="J63" s="7">
        <f t="shared" si="33"/>
        <v>0</v>
      </c>
      <c r="K63" s="2"/>
      <c r="L63" s="6">
        <f t="shared" si="34"/>
        <v>-1000</v>
      </c>
      <c r="M63" s="2"/>
      <c r="N63" s="7">
        <f t="shared" si="35"/>
        <v>-1</v>
      </c>
      <c r="O63" s="11"/>
      <c r="P63" s="6"/>
      <c r="Q63" s="2"/>
      <c r="R63" s="7">
        <f t="shared" si="36"/>
        <v>0</v>
      </c>
      <c r="S63" s="2"/>
      <c r="T63" s="6">
        <v>5000</v>
      </c>
      <c r="U63" s="2"/>
      <c r="V63" s="7">
        <f t="shared" si="37"/>
        <v>0</v>
      </c>
      <c r="W63" s="2"/>
      <c r="X63" s="6">
        <f t="shared" si="38"/>
        <v>-5000</v>
      </c>
      <c r="Y63" s="2"/>
      <c r="Z63" s="7">
        <f t="shared" si="39"/>
        <v>-1</v>
      </c>
    </row>
    <row r="64" spans="1:26" s="29" customFormat="1" outlineLevel="1" collapsed="1" x14ac:dyDescent="0.25">
      <c r="A64" s="27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SUM(OSRRefD22_13x_0)</f>
        <v>-800</v>
      </c>
      <c r="E64" s="1"/>
      <c r="F64" s="5">
        <f t="shared" si="32"/>
        <v>0</v>
      </c>
      <c r="G64" s="1"/>
      <c r="H64" s="1">
        <f>SUM(OSRRefH22_13x_0)</f>
        <v>-800</v>
      </c>
      <c r="I64" s="1"/>
      <c r="J64" s="5">
        <f t="shared" si="33"/>
        <v>0</v>
      </c>
      <c r="K64" s="1"/>
      <c r="L64" s="1">
        <f t="shared" si="34"/>
        <v>0</v>
      </c>
      <c r="M64" s="1"/>
      <c r="N64" s="5">
        <f t="shared" si="35"/>
        <v>0</v>
      </c>
      <c r="O64" s="14"/>
      <c r="P64" s="1">
        <f>SUM(OSRRefP22_13x_0)</f>
        <v>-4000</v>
      </c>
      <c r="Q64" s="1"/>
      <c r="R64" s="5">
        <f t="shared" si="36"/>
        <v>0</v>
      </c>
      <c r="S64" s="1"/>
      <c r="T64" s="1">
        <f>SUM(OSRRefT22_13x_0)</f>
        <v>-4000</v>
      </c>
      <c r="U64" s="1"/>
      <c r="V64" s="5">
        <f t="shared" si="37"/>
        <v>0</v>
      </c>
      <c r="W64" s="1"/>
      <c r="X64" s="1">
        <f t="shared" si="38"/>
        <v>0</v>
      </c>
      <c r="Y64" s="1"/>
      <c r="Z64" s="5">
        <f t="shared" si="39"/>
        <v>0</v>
      </c>
    </row>
    <row r="65" spans="1:26" s="24" customFormat="1" hidden="1" outlineLevel="2" x14ac:dyDescent="0.25">
      <c r="A65" s="28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32"/>
        <v>0</v>
      </c>
      <c r="G65" s="2"/>
      <c r="H65" s="6">
        <v>-800</v>
      </c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1"/>
      <c r="P65" s="6">
        <v>-4000</v>
      </c>
      <c r="Q65" s="2"/>
      <c r="R65" s="7">
        <f t="shared" si="36"/>
        <v>0</v>
      </c>
      <c r="S65" s="2"/>
      <c r="T65" s="6">
        <v>-4000</v>
      </c>
      <c r="U65" s="2"/>
      <c r="V65" s="7">
        <f t="shared" si="37"/>
        <v>0</v>
      </c>
      <c r="W65" s="2"/>
      <c r="X65" s="6">
        <f t="shared" si="38"/>
        <v>0</v>
      </c>
      <c r="Y65" s="2"/>
      <c r="Z65" s="7">
        <f t="shared" si="39"/>
        <v>0</v>
      </c>
    </row>
    <row r="66" spans="1:26" s="29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SUM(OSRRefD22_14x_0)</f>
        <v>2812.5</v>
      </c>
      <c r="E66" s="1"/>
      <c r="F66" s="5">
        <f t="shared" si="32"/>
        <v>0</v>
      </c>
      <c r="G66" s="1"/>
      <c r="H66" s="1">
        <f>SUM(OSRRefH22_14x_0)</f>
        <v>9000</v>
      </c>
      <c r="I66" s="1"/>
      <c r="J66" s="5">
        <f t="shared" si="33"/>
        <v>0</v>
      </c>
      <c r="K66" s="1"/>
      <c r="L66" s="1">
        <f t="shared" si="34"/>
        <v>-6187.5</v>
      </c>
      <c r="M66" s="1"/>
      <c r="N66" s="5">
        <f t="shared" si="35"/>
        <v>-0.6875</v>
      </c>
      <c r="O66" s="14"/>
      <c r="P66" s="1">
        <f>SUM(OSRRefP22_14x_0)</f>
        <v>76336.72</v>
      </c>
      <c r="Q66" s="1"/>
      <c r="R66" s="5">
        <f t="shared" si="36"/>
        <v>0</v>
      </c>
      <c r="S66" s="1"/>
      <c r="T66" s="1">
        <f>SUM(OSRRefT22_14x_0)</f>
        <v>90000</v>
      </c>
      <c r="U66" s="1"/>
      <c r="V66" s="5">
        <f t="shared" si="37"/>
        <v>0</v>
      </c>
      <c r="W66" s="1"/>
      <c r="X66" s="1">
        <f t="shared" si="38"/>
        <v>-13663.279999999999</v>
      </c>
      <c r="Y66" s="1"/>
      <c r="Z66" s="5">
        <f t="shared" si="39"/>
        <v>-0.15181422222222221</v>
      </c>
    </row>
    <row r="67" spans="1:26" s="24" customFormat="1" hidden="1" outlineLevel="2" x14ac:dyDescent="0.25">
      <c r="A67" s="28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58428.780000000006</v>
      </c>
      <c r="Q67" s="2"/>
      <c r="R67" s="7">
        <f t="shared" si="36"/>
        <v>0</v>
      </c>
      <c r="S67" s="2"/>
      <c r="T67" s="6">
        <v>45000</v>
      </c>
      <c r="U67" s="2"/>
      <c r="V67" s="7">
        <f t="shared" si="37"/>
        <v>0</v>
      </c>
      <c r="W67" s="2"/>
      <c r="X67" s="6">
        <f t="shared" si="38"/>
        <v>13428.780000000006</v>
      </c>
      <c r="Y67" s="2"/>
      <c r="Z67" s="7">
        <f t="shared" si="39"/>
        <v>0.29841733333333348</v>
      </c>
    </row>
    <row r="68" spans="1:26" s="24" customFormat="1" hidden="1" outlineLevel="2" x14ac:dyDescent="0.25">
      <c r="A68" s="28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1"/>
      <c r="P68" s="6">
        <v>0</v>
      </c>
      <c r="Q68" s="2"/>
      <c r="R68" s="7">
        <f t="shared" si="36"/>
        <v>0</v>
      </c>
      <c r="S68" s="2"/>
      <c r="T68" s="6"/>
      <c r="U68" s="2"/>
      <c r="V68" s="7">
        <f t="shared" si="37"/>
        <v>0</v>
      </c>
      <c r="W68" s="2"/>
      <c r="X68" s="6">
        <f t="shared" si="38"/>
        <v>0</v>
      </c>
      <c r="Y68" s="2"/>
      <c r="Z68" s="7">
        <f t="shared" si="39"/>
        <v>0</v>
      </c>
    </row>
    <row r="69" spans="1:26" s="24" customFormat="1" hidden="1" outlineLevel="2" x14ac:dyDescent="0.25">
      <c r="A69" s="28"/>
      <c r="B69" s="11" t="str">
        <f>CONCATENATE("          ", "6373", " - ", "MAINTENANCE CONTRACTS")</f>
        <v xml:space="preserve">          6373 - MAINTENANCE CONTRACTS</v>
      </c>
      <c r="C69" s="11"/>
      <c r="D69" s="6">
        <v>18.010000000000002</v>
      </c>
      <c r="E69" s="2"/>
      <c r="F69" s="7">
        <f t="shared" si="32"/>
        <v>0</v>
      </c>
      <c r="G69" s="2"/>
      <c r="H69" s="6">
        <v>1000</v>
      </c>
      <c r="I69" s="2"/>
      <c r="J69" s="7">
        <f t="shared" si="33"/>
        <v>0</v>
      </c>
      <c r="K69" s="2"/>
      <c r="L69" s="6">
        <f t="shared" si="34"/>
        <v>-981.99</v>
      </c>
      <c r="M69" s="2"/>
      <c r="N69" s="7">
        <f t="shared" si="35"/>
        <v>-0.98199000000000003</v>
      </c>
      <c r="O69" s="11"/>
      <c r="P69" s="6">
        <v>6216.38</v>
      </c>
      <c r="Q69" s="2"/>
      <c r="R69" s="7">
        <f t="shared" si="36"/>
        <v>0</v>
      </c>
      <c r="S69" s="2"/>
      <c r="T69" s="6">
        <v>5000</v>
      </c>
      <c r="U69" s="2"/>
      <c r="V69" s="7">
        <f t="shared" si="37"/>
        <v>0</v>
      </c>
      <c r="W69" s="2"/>
      <c r="X69" s="6">
        <f t="shared" si="38"/>
        <v>1216.3800000000001</v>
      </c>
      <c r="Y69" s="2"/>
      <c r="Z69" s="7">
        <f t="shared" si="39"/>
        <v>0.24327600000000002</v>
      </c>
    </row>
    <row r="70" spans="1:26" s="24" customFormat="1" hidden="1" outlineLevel="2" x14ac:dyDescent="0.25">
      <c r="A70" s="28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2794.49</v>
      </c>
      <c r="E70" s="2"/>
      <c r="F70" s="7">
        <f t="shared" si="32"/>
        <v>0</v>
      </c>
      <c r="G70" s="2"/>
      <c r="H70" s="6">
        <v>8000</v>
      </c>
      <c r="I70" s="2"/>
      <c r="J70" s="7">
        <f t="shared" si="33"/>
        <v>0</v>
      </c>
      <c r="K70" s="2"/>
      <c r="L70" s="6">
        <f t="shared" si="34"/>
        <v>-5205.51</v>
      </c>
      <c r="M70" s="2"/>
      <c r="N70" s="7">
        <f t="shared" si="35"/>
        <v>-0.65068875000000004</v>
      </c>
      <c r="O70" s="11"/>
      <c r="P70" s="6">
        <v>11691.56</v>
      </c>
      <c r="Q70" s="2"/>
      <c r="R70" s="7">
        <f t="shared" si="36"/>
        <v>0</v>
      </c>
      <c r="S70" s="2"/>
      <c r="T70" s="6">
        <v>40000</v>
      </c>
      <c r="U70" s="2"/>
      <c r="V70" s="7">
        <f t="shared" si="37"/>
        <v>0</v>
      </c>
      <c r="W70" s="2"/>
      <c r="X70" s="6">
        <f t="shared" si="38"/>
        <v>-28308.440000000002</v>
      </c>
      <c r="Y70" s="2"/>
      <c r="Z70" s="7">
        <f t="shared" si="39"/>
        <v>-0.70771100000000009</v>
      </c>
    </row>
    <row r="71" spans="1:26" s="29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SUM(OSRRefD22_15x_0)</f>
        <v>3873.95</v>
      </c>
      <c r="E71" s="1"/>
      <c r="F71" s="5">
        <f t="shared" ref="F71:F74" si="40">IF(D$12=0,0,D71/D$12)</f>
        <v>0</v>
      </c>
      <c r="G71" s="1"/>
      <c r="H71" s="1">
        <f>SUM(OSRRefH22_15x_0)</f>
        <v>4300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-426.05000000000018</v>
      </c>
      <c r="M71" s="1"/>
      <c r="N71" s="5">
        <f t="shared" ref="N71:N74" si="43">IF(H71=0,0,L71/H71)</f>
        <v>-9.9081395348837253E-2</v>
      </c>
      <c r="O71" s="14"/>
      <c r="P71" s="1">
        <f>SUM(OSRRefP22_15x_0)</f>
        <v>16702.810000000001</v>
      </c>
      <c r="Q71" s="1"/>
      <c r="R71" s="5">
        <f t="shared" ref="R71:R74" si="44">IF(P$12=0,0,P71/P$12)</f>
        <v>0</v>
      </c>
      <c r="S71" s="1"/>
      <c r="T71" s="1">
        <f>SUM(OSRRefT22_15x_0)</f>
        <v>21500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-4797.1899999999987</v>
      </c>
      <c r="Y71" s="1"/>
      <c r="Z71" s="5">
        <f t="shared" ref="Z71:Z74" si="47">IF(T71=0,0,X71/T71)</f>
        <v>-0.2231251162790697</v>
      </c>
    </row>
    <row r="72" spans="1:26" s="24" customFormat="1" hidden="1" outlineLevel="2" x14ac:dyDescent="0.25">
      <c r="A72" s="28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222.5</v>
      </c>
      <c r="E72" s="2"/>
      <c r="F72" s="7">
        <f t="shared" si="40"/>
        <v>0</v>
      </c>
      <c r="G72" s="2"/>
      <c r="H72" s="6">
        <v>4000</v>
      </c>
      <c r="I72" s="2"/>
      <c r="J72" s="7">
        <f t="shared" si="41"/>
        <v>0</v>
      </c>
      <c r="K72" s="2"/>
      <c r="L72" s="6">
        <f t="shared" si="42"/>
        <v>-3777.5</v>
      </c>
      <c r="M72" s="2"/>
      <c r="N72" s="7">
        <f t="shared" si="43"/>
        <v>-0.94437499999999996</v>
      </c>
      <c r="O72" s="11"/>
      <c r="P72" s="6">
        <v>5164.12</v>
      </c>
      <c r="Q72" s="2"/>
      <c r="R72" s="7">
        <f t="shared" si="44"/>
        <v>0</v>
      </c>
      <c r="S72" s="2"/>
      <c r="T72" s="6">
        <v>20000</v>
      </c>
      <c r="U72" s="2"/>
      <c r="V72" s="7">
        <f t="shared" si="45"/>
        <v>0</v>
      </c>
      <c r="W72" s="2"/>
      <c r="X72" s="6">
        <f t="shared" si="46"/>
        <v>-14835.880000000001</v>
      </c>
      <c r="Y72" s="2"/>
      <c r="Z72" s="7">
        <f t="shared" si="47"/>
        <v>-0.74179400000000006</v>
      </c>
    </row>
    <row r="73" spans="1:26" s="24" customFormat="1" hidden="1" outlineLevel="2" x14ac:dyDescent="0.25">
      <c r="A73" s="28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130</v>
      </c>
      <c r="Q73" s="2"/>
      <c r="R73" s="7">
        <f t="shared" si="44"/>
        <v>0</v>
      </c>
      <c r="S73" s="2"/>
      <c r="T73" s="6"/>
      <c r="U73" s="2"/>
      <c r="V73" s="7">
        <f t="shared" si="45"/>
        <v>0</v>
      </c>
      <c r="W73" s="2"/>
      <c r="X73" s="6">
        <f t="shared" si="46"/>
        <v>130</v>
      </c>
      <c r="Y73" s="2"/>
      <c r="Z73" s="7">
        <f t="shared" si="47"/>
        <v>0</v>
      </c>
    </row>
    <row r="74" spans="1:26" s="24" customFormat="1" hidden="1" outlineLevel="2" x14ac:dyDescent="0.25">
      <c r="A74" s="28"/>
      <c r="B74" s="11" t="str">
        <f>CONCATENATE("          ", "6285", " - ", "JANITORIAL SERVICES")</f>
        <v xml:space="preserve">          6285 - JANITORIAL SERVICES</v>
      </c>
      <c r="C74" s="11"/>
      <c r="D74" s="6">
        <v>3651.45</v>
      </c>
      <c r="E74" s="2"/>
      <c r="F74" s="7">
        <f t="shared" si="40"/>
        <v>0</v>
      </c>
      <c r="G74" s="2"/>
      <c r="H74" s="6">
        <v>300</v>
      </c>
      <c r="I74" s="2"/>
      <c r="J74" s="7">
        <f t="shared" si="41"/>
        <v>0</v>
      </c>
      <c r="K74" s="2"/>
      <c r="L74" s="6">
        <f t="shared" si="42"/>
        <v>3351.45</v>
      </c>
      <c r="M74" s="2"/>
      <c r="N74" s="7">
        <f t="shared" si="43"/>
        <v>11.1715</v>
      </c>
      <c r="O74" s="11"/>
      <c r="P74" s="6">
        <v>11408.69</v>
      </c>
      <c r="Q74" s="2"/>
      <c r="R74" s="7">
        <f t="shared" si="44"/>
        <v>0</v>
      </c>
      <c r="S74" s="2"/>
      <c r="T74" s="6">
        <v>1500</v>
      </c>
      <c r="U74" s="2"/>
      <c r="V74" s="7">
        <f t="shared" si="45"/>
        <v>0</v>
      </c>
      <c r="W74" s="2"/>
      <c r="X74" s="6">
        <f t="shared" si="46"/>
        <v>9908.69</v>
      </c>
      <c r="Y74" s="2"/>
      <c r="Z74" s="7">
        <f t="shared" si="47"/>
        <v>6.6057933333333336</v>
      </c>
    </row>
    <row r="75" spans="1:26" s="29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SUM(OSRRefD22_16x_0)</f>
        <v>0</v>
      </c>
      <c r="E75" s="1"/>
      <c r="F75" s="5">
        <f t="shared" ref="F75:F84" si="48">IF(D$12=0,0,D75/D$12)</f>
        <v>0</v>
      </c>
      <c r="G75" s="1"/>
      <c r="H75" s="1">
        <f>SUM(OSRRefH22_16x_0)</f>
        <v>800</v>
      </c>
      <c r="I75" s="1"/>
      <c r="J75" s="5">
        <f t="shared" ref="J75:J84" si="49">IF(H$12=0,0,H75/H$12)</f>
        <v>0</v>
      </c>
      <c r="K75" s="1"/>
      <c r="L75" s="1">
        <f t="shared" ref="L75:L84" si="50">+D75-H75</f>
        <v>-800</v>
      </c>
      <c r="M75" s="1"/>
      <c r="N75" s="5">
        <f t="shared" ref="N75:N84" si="51">IF(H75=0,0,L75/H75)</f>
        <v>-1</v>
      </c>
      <c r="O75" s="14"/>
      <c r="P75" s="1">
        <f>SUM(OSRRefP22_16x_0)</f>
        <v>0</v>
      </c>
      <c r="Q75" s="1"/>
      <c r="R75" s="5">
        <f t="shared" ref="R75:R84" si="52">IF(P$12=0,0,P75/P$12)</f>
        <v>0</v>
      </c>
      <c r="S75" s="1"/>
      <c r="T75" s="1">
        <f>SUM(OSRRefT22_16x_0)</f>
        <v>4000</v>
      </c>
      <c r="U75" s="1"/>
      <c r="V75" s="5">
        <f t="shared" ref="V75:V84" si="53">IF(T$12=0,0,T75/T$12)</f>
        <v>0</v>
      </c>
      <c r="W75" s="1"/>
      <c r="X75" s="1">
        <f t="shared" ref="X75:X84" si="54">+P75-T75</f>
        <v>-4000</v>
      </c>
      <c r="Y75" s="1"/>
      <c r="Z75" s="5">
        <f t="shared" ref="Z75:Z84" si="55">IF(T75=0,0,X75/T75)</f>
        <v>-1</v>
      </c>
    </row>
    <row r="76" spans="1:26" s="24" customFormat="1" hidden="1" outlineLevel="2" x14ac:dyDescent="0.25">
      <c r="A76" s="28"/>
      <c r="B76" s="11" t="str">
        <f>CONCATENATE("          ", "6258", " - ", "MEMBERSHIP DUES")</f>
        <v xml:space="preserve">          6258 - MEMBERSHIP DUES</v>
      </c>
      <c r="C76" s="11"/>
      <c r="D76" s="6"/>
      <c r="E76" s="2"/>
      <c r="F76" s="7">
        <f t="shared" si="48"/>
        <v>0</v>
      </c>
      <c r="G76" s="2"/>
      <c r="H76" s="6">
        <v>800</v>
      </c>
      <c r="I76" s="2"/>
      <c r="J76" s="7">
        <f t="shared" si="49"/>
        <v>0</v>
      </c>
      <c r="K76" s="2"/>
      <c r="L76" s="6">
        <f t="shared" si="50"/>
        <v>-800</v>
      </c>
      <c r="M76" s="2"/>
      <c r="N76" s="7">
        <f t="shared" si="51"/>
        <v>-1</v>
      </c>
      <c r="O76" s="11"/>
      <c r="P76" s="6"/>
      <c r="Q76" s="2"/>
      <c r="R76" s="7">
        <f t="shared" si="52"/>
        <v>0</v>
      </c>
      <c r="S76" s="2"/>
      <c r="T76" s="6">
        <v>4000</v>
      </c>
      <c r="U76" s="2"/>
      <c r="V76" s="7">
        <f t="shared" si="53"/>
        <v>0</v>
      </c>
      <c r="W76" s="2"/>
      <c r="X76" s="6">
        <f t="shared" si="54"/>
        <v>-4000</v>
      </c>
      <c r="Y76" s="2"/>
      <c r="Z76" s="7">
        <f t="shared" si="55"/>
        <v>-1</v>
      </c>
    </row>
    <row r="77" spans="1:26" s="29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SUM(OSRRefD22_17x_0)</f>
        <v>11705.53</v>
      </c>
      <c r="E77" s="1"/>
      <c r="F77" s="5">
        <f t="shared" si="48"/>
        <v>0</v>
      </c>
      <c r="G77" s="1"/>
      <c r="H77" s="1">
        <f>SUM(OSRRefH22_17x_0)</f>
        <v>3900</v>
      </c>
      <c r="I77" s="1"/>
      <c r="J77" s="5">
        <f t="shared" si="49"/>
        <v>0</v>
      </c>
      <c r="K77" s="1"/>
      <c r="L77" s="1">
        <f t="shared" si="50"/>
        <v>7805.5300000000007</v>
      </c>
      <c r="M77" s="1"/>
      <c r="N77" s="5">
        <f t="shared" si="51"/>
        <v>2.0014179487179491</v>
      </c>
      <c r="O77" s="14"/>
      <c r="P77" s="1">
        <f>SUM(OSRRefP22_17x_0)</f>
        <v>41896.39</v>
      </c>
      <c r="Q77" s="1"/>
      <c r="R77" s="5">
        <f t="shared" si="52"/>
        <v>0</v>
      </c>
      <c r="S77" s="1"/>
      <c r="T77" s="1">
        <f>SUM(OSRRefT22_17x_0)</f>
        <v>79300</v>
      </c>
      <c r="U77" s="1"/>
      <c r="V77" s="5">
        <f t="shared" si="53"/>
        <v>0</v>
      </c>
      <c r="W77" s="1"/>
      <c r="X77" s="1">
        <f t="shared" si="54"/>
        <v>-37403.61</v>
      </c>
      <c r="Y77" s="1"/>
      <c r="Z77" s="5">
        <f t="shared" si="55"/>
        <v>-0.4716722572509458</v>
      </c>
    </row>
    <row r="78" spans="1:26" s="24" customFormat="1" hidden="1" outlineLevel="2" x14ac:dyDescent="0.25">
      <c r="A78" s="28"/>
      <c r="B78" s="11" t="str">
        <f>CONCATENATE("          ", "6234", " - ", "EXPENDABLE SUPPLIES &amp; EQUIPMEN")</f>
        <v xml:space="preserve">          6234 - EXPENDABLE SUPPLIES &amp; EQUIPMEN</v>
      </c>
      <c r="C78" s="11"/>
      <c r="D78" s="6">
        <v>-550.67999999999995</v>
      </c>
      <c r="E78" s="2"/>
      <c r="F78" s="7">
        <f t="shared" si="48"/>
        <v>0</v>
      </c>
      <c r="G78" s="2"/>
      <c r="H78" s="6">
        <v>100</v>
      </c>
      <c r="I78" s="2"/>
      <c r="J78" s="7">
        <f t="shared" si="49"/>
        <v>0</v>
      </c>
      <c r="K78" s="2"/>
      <c r="L78" s="6">
        <f t="shared" si="50"/>
        <v>-650.67999999999995</v>
      </c>
      <c r="M78" s="2"/>
      <c r="N78" s="7">
        <f t="shared" si="51"/>
        <v>-6.5067999999999993</v>
      </c>
      <c r="O78" s="11"/>
      <c r="P78" s="6">
        <v>-449.34</v>
      </c>
      <c r="Q78" s="2"/>
      <c r="R78" s="7">
        <f t="shared" si="52"/>
        <v>0</v>
      </c>
      <c r="S78" s="2"/>
      <c r="T78" s="6">
        <v>500</v>
      </c>
      <c r="U78" s="2"/>
      <c r="V78" s="7">
        <f t="shared" si="53"/>
        <v>0</v>
      </c>
      <c r="W78" s="2"/>
      <c r="X78" s="6">
        <f t="shared" si="54"/>
        <v>-949.33999999999992</v>
      </c>
      <c r="Y78" s="2"/>
      <c r="Z78" s="7">
        <f t="shared" si="55"/>
        <v>-1.8986799999999999</v>
      </c>
    </row>
    <row r="79" spans="1:26" s="24" customFormat="1" hidden="1" outlineLevel="2" x14ac:dyDescent="0.25">
      <c r="A79" s="28"/>
      <c r="B79" s="11" t="str">
        <f>CONCATENATE("          ", "6235", " - ", "COVID-19 EXPENSES")</f>
        <v xml:space="preserve">          6235 - COVID-19 EXPENSES</v>
      </c>
      <c r="C79" s="11"/>
      <c r="D79" s="6">
        <v>2491.79</v>
      </c>
      <c r="E79" s="2"/>
      <c r="F79" s="7">
        <f t="shared" si="48"/>
        <v>0</v>
      </c>
      <c r="G79" s="2"/>
      <c r="H79" s="6">
        <v>100</v>
      </c>
      <c r="I79" s="2"/>
      <c r="J79" s="7">
        <f t="shared" si="49"/>
        <v>0</v>
      </c>
      <c r="K79" s="2"/>
      <c r="L79" s="6">
        <f t="shared" si="50"/>
        <v>2391.79</v>
      </c>
      <c r="M79" s="2"/>
      <c r="N79" s="7">
        <f t="shared" si="51"/>
        <v>23.917899999999999</v>
      </c>
      <c r="O79" s="11"/>
      <c r="P79" s="6">
        <v>26409.289999999997</v>
      </c>
      <c r="Q79" s="2"/>
      <c r="R79" s="7">
        <f t="shared" si="52"/>
        <v>0</v>
      </c>
      <c r="S79" s="2"/>
      <c r="T79" s="6">
        <v>60300</v>
      </c>
      <c r="U79" s="2"/>
      <c r="V79" s="7">
        <f t="shared" si="53"/>
        <v>0</v>
      </c>
      <c r="W79" s="2"/>
      <c r="X79" s="6">
        <f t="shared" si="54"/>
        <v>-33890.710000000006</v>
      </c>
      <c r="Y79" s="2"/>
      <c r="Z79" s="7">
        <f t="shared" si="55"/>
        <v>-0.5620349917081261</v>
      </c>
    </row>
    <row r="80" spans="1:26" s="24" customFormat="1" hidden="1" outlineLevel="2" x14ac:dyDescent="0.25">
      <c r="A80" s="28"/>
      <c r="B80" s="11" t="str">
        <f>CONCATENATE("          ", "6237", " - ", "JANITORIAL SUPPLIES")</f>
        <v xml:space="preserve">          6237 - JANITORIAL SUPPLIES</v>
      </c>
      <c r="C80" s="11"/>
      <c r="D80" s="6">
        <v>246.99</v>
      </c>
      <c r="E80" s="2"/>
      <c r="F80" s="7">
        <f t="shared" si="48"/>
        <v>0</v>
      </c>
      <c r="G80" s="2"/>
      <c r="H80" s="6">
        <v>200</v>
      </c>
      <c r="I80" s="2"/>
      <c r="J80" s="7">
        <f t="shared" si="49"/>
        <v>0</v>
      </c>
      <c r="K80" s="2"/>
      <c r="L80" s="6">
        <f t="shared" si="50"/>
        <v>46.990000000000009</v>
      </c>
      <c r="M80" s="2"/>
      <c r="N80" s="7">
        <f t="shared" si="51"/>
        <v>0.23495000000000005</v>
      </c>
      <c r="O80" s="11"/>
      <c r="P80" s="6">
        <v>1303.6099999999999</v>
      </c>
      <c r="Q80" s="2"/>
      <c r="R80" s="7">
        <f t="shared" si="52"/>
        <v>0</v>
      </c>
      <c r="S80" s="2"/>
      <c r="T80" s="6">
        <v>1000</v>
      </c>
      <c r="U80" s="2"/>
      <c r="V80" s="7">
        <f t="shared" si="53"/>
        <v>0</v>
      </c>
      <c r="W80" s="2"/>
      <c r="X80" s="6">
        <f t="shared" si="54"/>
        <v>303.6099999999999</v>
      </c>
      <c r="Y80" s="2"/>
      <c r="Z80" s="7">
        <f t="shared" si="55"/>
        <v>0.30360999999999988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6">
        <v>4.84</v>
      </c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4.84</v>
      </c>
      <c r="M81" s="2"/>
      <c r="N81" s="7">
        <f t="shared" si="51"/>
        <v>0</v>
      </c>
      <c r="O81" s="11"/>
      <c r="P81" s="6">
        <v>2226.79</v>
      </c>
      <c r="Q81" s="2"/>
      <c r="R81" s="7">
        <f t="shared" si="52"/>
        <v>0</v>
      </c>
      <c r="S81" s="2"/>
      <c r="T81" s="6"/>
      <c r="U81" s="2"/>
      <c r="V81" s="7">
        <f t="shared" si="53"/>
        <v>0</v>
      </c>
      <c r="W81" s="2"/>
      <c r="X81" s="6">
        <f t="shared" si="54"/>
        <v>2226.79</v>
      </c>
      <c r="Y81" s="2"/>
      <c r="Z81" s="7">
        <f t="shared" si="55"/>
        <v>0</v>
      </c>
    </row>
    <row r="82" spans="1:26" s="24" customFormat="1" hidden="1" outlineLevel="2" x14ac:dyDescent="0.25">
      <c r="A82" s="28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8"/>
        <v>0</v>
      </c>
      <c r="G82" s="2"/>
      <c r="H82" s="6"/>
      <c r="I82" s="2"/>
      <c r="J82" s="7">
        <f t="shared" si="49"/>
        <v>0</v>
      </c>
      <c r="K82" s="2"/>
      <c r="L82" s="6">
        <f t="shared" si="50"/>
        <v>0</v>
      </c>
      <c r="M82" s="2"/>
      <c r="N82" s="7">
        <f t="shared" si="51"/>
        <v>0</v>
      </c>
      <c r="O82" s="11"/>
      <c r="P82" s="6">
        <v>68.66</v>
      </c>
      <c r="Q82" s="2"/>
      <c r="R82" s="7">
        <f t="shared" si="52"/>
        <v>0</v>
      </c>
      <c r="S82" s="2"/>
      <c r="T82" s="6"/>
      <c r="U82" s="2"/>
      <c r="V82" s="7">
        <f t="shared" si="53"/>
        <v>0</v>
      </c>
      <c r="W82" s="2"/>
      <c r="X82" s="6">
        <f t="shared" si="54"/>
        <v>68.66</v>
      </c>
      <c r="Y82" s="2"/>
      <c r="Z82" s="7">
        <f t="shared" si="55"/>
        <v>0</v>
      </c>
    </row>
    <row r="83" spans="1:26" s="24" customFormat="1" hidden="1" outlineLevel="2" x14ac:dyDescent="0.25">
      <c r="A83" s="28"/>
      <c r="B83" s="11" t="str">
        <f>CONCATENATE("          ", "6247", " - ", "STORE SUPPLIES")</f>
        <v xml:space="preserve">          6247 - STORE SUPPLIES</v>
      </c>
      <c r="C83" s="11"/>
      <c r="D83" s="6">
        <v>9512.59</v>
      </c>
      <c r="E83" s="2"/>
      <c r="F83" s="7">
        <f t="shared" si="48"/>
        <v>0</v>
      </c>
      <c r="G83" s="2"/>
      <c r="H83" s="6">
        <v>2000</v>
      </c>
      <c r="I83" s="2"/>
      <c r="J83" s="7">
        <f t="shared" si="49"/>
        <v>0</v>
      </c>
      <c r="K83" s="2"/>
      <c r="L83" s="6">
        <f t="shared" si="50"/>
        <v>7512.59</v>
      </c>
      <c r="M83" s="2"/>
      <c r="N83" s="7">
        <f t="shared" si="51"/>
        <v>3.7562950000000002</v>
      </c>
      <c r="O83" s="11"/>
      <c r="P83" s="6">
        <v>12337.38</v>
      </c>
      <c r="Q83" s="2"/>
      <c r="R83" s="7">
        <f t="shared" si="52"/>
        <v>0</v>
      </c>
      <c r="S83" s="2"/>
      <c r="T83" s="6">
        <v>10000</v>
      </c>
      <c r="U83" s="2"/>
      <c r="V83" s="7">
        <f t="shared" si="53"/>
        <v>0</v>
      </c>
      <c r="W83" s="2"/>
      <c r="X83" s="6">
        <f t="shared" si="54"/>
        <v>2337.3799999999992</v>
      </c>
      <c r="Y83" s="2"/>
      <c r="Z83" s="7">
        <f t="shared" si="55"/>
        <v>0.23373799999999992</v>
      </c>
    </row>
    <row r="84" spans="1:26" s="24" customFormat="1" hidden="1" outlineLevel="2" x14ac:dyDescent="0.25">
      <c r="A84" s="28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8"/>
        <v>0</v>
      </c>
      <c r="G84" s="2"/>
      <c r="H84" s="6">
        <v>1500</v>
      </c>
      <c r="I84" s="2"/>
      <c r="J84" s="7">
        <f t="shared" si="49"/>
        <v>0</v>
      </c>
      <c r="K84" s="2"/>
      <c r="L84" s="6">
        <f t="shared" si="50"/>
        <v>-1500</v>
      </c>
      <c r="M84" s="2"/>
      <c r="N84" s="7">
        <f t="shared" si="51"/>
        <v>-1</v>
      </c>
      <c r="O84" s="11"/>
      <c r="P84" s="6"/>
      <c r="Q84" s="2"/>
      <c r="R84" s="7">
        <f t="shared" si="52"/>
        <v>0</v>
      </c>
      <c r="S84" s="2"/>
      <c r="T84" s="6">
        <v>7500</v>
      </c>
      <c r="U84" s="2"/>
      <c r="V84" s="7">
        <f t="shared" si="53"/>
        <v>0</v>
      </c>
      <c r="W84" s="2"/>
      <c r="X84" s="6">
        <f t="shared" si="54"/>
        <v>-7500</v>
      </c>
      <c r="Y84" s="2"/>
      <c r="Z84" s="7">
        <f t="shared" si="55"/>
        <v>-1</v>
      </c>
    </row>
    <row r="85" spans="1:26" s="29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SUM(OSRRefD22_18x_0)</f>
        <v>499.15</v>
      </c>
      <c r="E85" s="1"/>
      <c r="F85" s="5">
        <f t="shared" ref="F85:F91" si="56">IF(D$12=0,0,D85/D$12)</f>
        <v>0</v>
      </c>
      <c r="G85" s="1"/>
      <c r="H85" s="1">
        <f>SUM(OSRRefH22_18x_0)</f>
        <v>600</v>
      </c>
      <c r="I85" s="1"/>
      <c r="J85" s="5">
        <f t="shared" ref="J85:J91" si="57">IF(H$12=0,0,H85/H$12)</f>
        <v>0</v>
      </c>
      <c r="K85" s="1"/>
      <c r="L85" s="1">
        <f t="shared" ref="L85:L91" si="58">+D85-H85</f>
        <v>-100.85000000000002</v>
      </c>
      <c r="M85" s="1"/>
      <c r="N85" s="5">
        <f t="shared" ref="N85:N91" si="59">IF(H85=0,0,L85/H85)</f>
        <v>-0.16808333333333336</v>
      </c>
      <c r="O85" s="14"/>
      <c r="P85" s="1">
        <f>SUM(OSRRefP22_18x_0)</f>
        <v>3153.28</v>
      </c>
      <c r="Q85" s="1"/>
      <c r="R85" s="5">
        <f t="shared" ref="R85:R91" si="60">IF(P$12=0,0,P85/P$12)</f>
        <v>0</v>
      </c>
      <c r="S85" s="1"/>
      <c r="T85" s="1">
        <f>SUM(OSRRefT22_18x_0)</f>
        <v>3000</v>
      </c>
      <c r="U85" s="1"/>
      <c r="V85" s="5">
        <f t="shared" ref="V85:V91" si="61">IF(T$12=0,0,T85/T$12)</f>
        <v>0</v>
      </c>
      <c r="W85" s="1"/>
      <c r="X85" s="1">
        <f t="shared" ref="X85:X91" si="62">+P85-T85</f>
        <v>153.2800000000002</v>
      </c>
      <c r="Y85" s="1"/>
      <c r="Z85" s="5">
        <f t="shared" ref="Z85:Z91" si="63">IF(T85=0,0,X85/T85)</f>
        <v>5.10933333333334E-2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6">
        <v>499.15</v>
      </c>
      <c r="E86" s="2"/>
      <c r="F86" s="7">
        <f t="shared" si="56"/>
        <v>0</v>
      </c>
      <c r="G86" s="2"/>
      <c r="H86" s="6">
        <v>600</v>
      </c>
      <c r="I86" s="2"/>
      <c r="J86" s="7">
        <f t="shared" si="57"/>
        <v>0</v>
      </c>
      <c r="K86" s="2"/>
      <c r="L86" s="6">
        <f t="shared" si="58"/>
        <v>-100.85000000000002</v>
      </c>
      <c r="M86" s="2"/>
      <c r="N86" s="7">
        <f t="shared" si="59"/>
        <v>-0.16808333333333336</v>
      </c>
      <c r="O86" s="11"/>
      <c r="P86" s="6">
        <v>3153.28</v>
      </c>
      <c r="Q86" s="2"/>
      <c r="R86" s="7">
        <f t="shared" si="60"/>
        <v>0</v>
      </c>
      <c r="S86" s="2"/>
      <c r="T86" s="6">
        <v>3000</v>
      </c>
      <c r="U86" s="2"/>
      <c r="V86" s="7">
        <f t="shared" si="61"/>
        <v>0</v>
      </c>
      <c r="W86" s="2"/>
      <c r="X86" s="6">
        <f t="shared" si="62"/>
        <v>153.2800000000002</v>
      </c>
      <c r="Y86" s="2"/>
      <c r="Z86" s="7">
        <f t="shared" si="63"/>
        <v>5.10933333333334E-2</v>
      </c>
    </row>
    <row r="87" spans="1:26" s="29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SUM(OSRRefD22_19x_0)</f>
        <v>0</v>
      </c>
      <c r="E87" s="1"/>
      <c r="F87" s="5">
        <f t="shared" si="56"/>
        <v>0</v>
      </c>
      <c r="G87" s="1"/>
      <c r="H87" s="1">
        <f>SUM(OSRRefH22_19x_0)</f>
        <v>750</v>
      </c>
      <c r="I87" s="1"/>
      <c r="J87" s="5">
        <f t="shared" si="57"/>
        <v>0</v>
      </c>
      <c r="K87" s="1"/>
      <c r="L87" s="1">
        <f t="shared" si="58"/>
        <v>-750</v>
      </c>
      <c r="M87" s="1"/>
      <c r="N87" s="5">
        <f t="shared" si="59"/>
        <v>-1</v>
      </c>
      <c r="O87" s="14"/>
      <c r="P87" s="1">
        <f>SUM(OSRRefP22_19x_0)</f>
        <v>131.63</v>
      </c>
      <c r="Q87" s="1"/>
      <c r="R87" s="5">
        <f t="shared" si="60"/>
        <v>0</v>
      </c>
      <c r="S87" s="1"/>
      <c r="T87" s="1">
        <f>SUM(OSRRefT22_19x_0)</f>
        <v>3250</v>
      </c>
      <c r="U87" s="1"/>
      <c r="V87" s="5">
        <f t="shared" si="61"/>
        <v>0</v>
      </c>
      <c r="W87" s="1"/>
      <c r="X87" s="1">
        <f t="shared" si="62"/>
        <v>-3118.37</v>
      </c>
      <c r="Y87" s="1"/>
      <c r="Z87" s="5">
        <f t="shared" si="63"/>
        <v>-0.95949846153846152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6"/>
        <v>0</v>
      </c>
      <c r="G88" s="2"/>
      <c r="H88" s="6">
        <v>750</v>
      </c>
      <c r="I88" s="2"/>
      <c r="J88" s="7">
        <f t="shared" si="57"/>
        <v>0</v>
      </c>
      <c r="K88" s="2"/>
      <c r="L88" s="6">
        <f t="shared" si="58"/>
        <v>-750</v>
      </c>
      <c r="M88" s="2"/>
      <c r="N88" s="7">
        <f t="shared" si="59"/>
        <v>-1</v>
      </c>
      <c r="O88" s="11"/>
      <c r="P88" s="6">
        <v>131.63</v>
      </c>
      <c r="Q88" s="2"/>
      <c r="R88" s="7">
        <f t="shared" si="60"/>
        <v>0</v>
      </c>
      <c r="S88" s="2"/>
      <c r="T88" s="6">
        <v>3250</v>
      </c>
      <c r="U88" s="2"/>
      <c r="V88" s="7">
        <f t="shared" si="61"/>
        <v>0</v>
      </c>
      <c r="W88" s="2"/>
      <c r="X88" s="6">
        <f t="shared" si="62"/>
        <v>-3118.37</v>
      </c>
      <c r="Y88" s="2"/>
      <c r="Z88" s="7">
        <f t="shared" si="63"/>
        <v>-0.95949846153846152</v>
      </c>
    </row>
    <row r="89" spans="1:26" s="29" customFormat="1" outlineLevel="1" collapsed="1" x14ac:dyDescent="0.25">
      <c r="A89" s="27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SUM(OSRRefD22_20x_0)</f>
        <v>299</v>
      </c>
      <c r="E89" s="1"/>
      <c r="F89" s="5">
        <f t="shared" si="56"/>
        <v>0</v>
      </c>
      <c r="G89" s="1"/>
      <c r="H89" s="1">
        <f>SUM(OSRRefH22_20x_0)</f>
        <v>0</v>
      </c>
      <c r="I89" s="1"/>
      <c r="J89" s="5">
        <f t="shared" si="57"/>
        <v>0</v>
      </c>
      <c r="K89" s="1"/>
      <c r="L89" s="1">
        <f t="shared" si="58"/>
        <v>299</v>
      </c>
      <c r="M89" s="1"/>
      <c r="N89" s="5">
        <f t="shared" si="59"/>
        <v>0</v>
      </c>
      <c r="O89" s="14"/>
      <c r="P89" s="1">
        <f>SUM(OSRRefP22_20x_0)</f>
        <v>358.89</v>
      </c>
      <c r="Q89" s="1"/>
      <c r="R89" s="5">
        <f t="shared" si="60"/>
        <v>0</v>
      </c>
      <c r="S89" s="1"/>
      <c r="T89" s="1">
        <f>SUM(OSRRefT22_20x_0)</f>
        <v>0</v>
      </c>
      <c r="U89" s="1"/>
      <c r="V89" s="5">
        <f t="shared" si="61"/>
        <v>0</v>
      </c>
      <c r="W89" s="1"/>
      <c r="X89" s="1">
        <f t="shared" si="62"/>
        <v>358.89</v>
      </c>
      <c r="Y89" s="1"/>
      <c r="Z89" s="5">
        <f t="shared" si="63"/>
        <v>0</v>
      </c>
    </row>
    <row r="90" spans="1:26" s="24" customFormat="1" hidden="1" outlineLevel="2" x14ac:dyDescent="0.25">
      <c r="A90" s="28"/>
      <c r="B90" s="11" t="str">
        <f>CONCATENATE("          ", "6292", " - ", "TRAVEL/CONFERENCE")</f>
        <v xml:space="preserve">          6292 - TRAVEL/CONFERENCE</v>
      </c>
      <c r="C90" s="11"/>
      <c r="D90" s="6">
        <v>299</v>
      </c>
      <c r="E90" s="2"/>
      <c r="F90" s="7">
        <f t="shared" si="56"/>
        <v>0</v>
      </c>
      <c r="G90" s="2"/>
      <c r="H90" s="6"/>
      <c r="I90" s="2"/>
      <c r="J90" s="7">
        <f t="shared" si="57"/>
        <v>0</v>
      </c>
      <c r="K90" s="2"/>
      <c r="L90" s="6">
        <f t="shared" si="58"/>
        <v>299</v>
      </c>
      <c r="M90" s="2"/>
      <c r="N90" s="7">
        <f t="shared" si="59"/>
        <v>0</v>
      </c>
      <c r="O90" s="11"/>
      <c r="P90" s="6">
        <v>299</v>
      </c>
      <c r="Q90" s="2"/>
      <c r="R90" s="7">
        <f t="shared" si="60"/>
        <v>0</v>
      </c>
      <c r="S90" s="2"/>
      <c r="T90" s="6"/>
      <c r="U90" s="2"/>
      <c r="V90" s="7">
        <f t="shared" si="61"/>
        <v>0</v>
      </c>
      <c r="W90" s="2"/>
      <c r="X90" s="6">
        <f t="shared" si="62"/>
        <v>299</v>
      </c>
      <c r="Y90" s="2"/>
      <c r="Z90" s="7">
        <f t="shared" si="63"/>
        <v>0</v>
      </c>
    </row>
    <row r="91" spans="1:26" s="24" customFormat="1" hidden="1" outlineLevel="2" x14ac:dyDescent="0.25">
      <c r="A91" s="28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56"/>
        <v>0</v>
      </c>
      <c r="G91" s="2"/>
      <c r="H91" s="6"/>
      <c r="I91" s="2"/>
      <c r="J91" s="7">
        <f t="shared" si="57"/>
        <v>0</v>
      </c>
      <c r="K91" s="2"/>
      <c r="L91" s="6">
        <f t="shared" si="58"/>
        <v>0</v>
      </c>
      <c r="M91" s="2"/>
      <c r="N91" s="7">
        <f t="shared" si="59"/>
        <v>0</v>
      </c>
      <c r="O91" s="11"/>
      <c r="P91" s="6">
        <v>59.89</v>
      </c>
      <c r="Q91" s="2"/>
      <c r="R91" s="7">
        <f t="shared" si="60"/>
        <v>0</v>
      </c>
      <c r="S91" s="2"/>
      <c r="T91" s="6"/>
      <c r="U91" s="2"/>
      <c r="V91" s="7">
        <f t="shared" si="61"/>
        <v>0</v>
      </c>
      <c r="W91" s="2"/>
      <c r="X91" s="6">
        <f t="shared" si="62"/>
        <v>59.89</v>
      </c>
      <c r="Y91" s="2"/>
      <c r="Z91" s="7">
        <f t="shared" si="63"/>
        <v>0</v>
      </c>
    </row>
    <row r="92" spans="1:26" s="29" customFormat="1" outlineLevel="1" collapsed="1" x14ac:dyDescent="0.25">
      <c r="A92" s="27"/>
      <c r="B92" s="14" t="str">
        <f>CONCATENATE("     ","Utilities                                         ")</f>
        <v xml:space="preserve">     Utilities                                         </v>
      </c>
      <c r="C92" s="14"/>
      <c r="D92" s="1">
        <f>SUM(OSRRefD22_21x_0)</f>
        <v>6133</v>
      </c>
      <c r="E92" s="1"/>
      <c r="F92" s="5">
        <f t="shared" ref="F92:F93" si="64">IF(D$12=0,0,D92/D$12)</f>
        <v>0</v>
      </c>
      <c r="G92" s="1"/>
      <c r="H92" s="1">
        <f>SUM(OSRRefH22_21x_0)</f>
        <v>6000</v>
      </c>
      <c r="I92" s="1"/>
      <c r="J92" s="5">
        <f t="shared" ref="J92:J93" si="65">IF(H$12=0,0,H92/H$12)</f>
        <v>0</v>
      </c>
      <c r="K92" s="1"/>
      <c r="L92" s="1">
        <f t="shared" ref="L92:L93" si="66">+D92-H92</f>
        <v>133</v>
      </c>
      <c r="M92" s="1"/>
      <c r="N92" s="5">
        <f t="shared" ref="N92:N93" si="67">IF(H92=0,0,L92/H92)</f>
        <v>2.2166666666666668E-2</v>
      </c>
      <c r="O92" s="14"/>
      <c r="P92" s="1">
        <f>SUM(OSRRefP22_21x_0)</f>
        <v>30469</v>
      </c>
      <c r="Q92" s="1"/>
      <c r="R92" s="5">
        <f t="shared" ref="R92:R93" si="68">IF(P$12=0,0,P92/P$12)</f>
        <v>0</v>
      </c>
      <c r="S92" s="1"/>
      <c r="T92" s="1">
        <f>SUM(OSRRefT22_21x_0)</f>
        <v>30000</v>
      </c>
      <c r="U92" s="1"/>
      <c r="V92" s="5">
        <f t="shared" ref="V92:V93" si="69">IF(T$12=0,0,T92/T$12)</f>
        <v>0</v>
      </c>
      <c r="W92" s="1"/>
      <c r="X92" s="1">
        <f t="shared" ref="X92:X93" si="70">+P92-T92</f>
        <v>469</v>
      </c>
      <c r="Y92" s="1"/>
      <c r="Z92" s="5">
        <f t="shared" ref="Z92:Z93" si="71">IF(T92=0,0,X92/T92)</f>
        <v>1.5633333333333332E-2</v>
      </c>
    </row>
    <row r="93" spans="1:26" s="24" customFormat="1" hidden="1" outlineLevel="2" x14ac:dyDescent="0.25">
      <c r="A93" s="28"/>
      <c r="B93" s="11" t="str">
        <f>CONCATENATE("          ", "6274", " - ", "UTILITIES")</f>
        <v xml:space="preserve">          6274 - UTILITIES</v>
      </c>
      <c r="C93" s="11"/>
      <c r="D93" s="6">
        <v>6133</v>
      </c>
      <c r="E93" s="2"/>
      <c r="F93" s="7">
        <f t="shared" si="64"/>
        <v>0</v>
      </c>
      <c r="G93" s="2"/>
      <c r="H93" s="6">
        <v>6000</v>
      </c>
      <c r="I93" s="2"/>
      <c r="J93" s="7">
        <f t="shared" si="65"/>
        <v>0</v>
      </c>
      <c r="K93" s="2"/>
      <c r="L93" s="6">
        <f t="shared" si="66"/>
        <v>133</v>
      </c>
      <c r="M93" s="2"/>
      <c r="N93" s="7">
        <f t="shared" si="67"/>
        <v>2.2166666666666668E-2</v>
      </c>
      <c r="O93" s="11"/>
      <c r="P93" s="6">
        <v>30469</v>
      </c>
      <c r="Q93" s="2"/>
      <c r="R93" s="7">
        <f t="shared" si="68"/>
        <v>0</v>
      </c>
      <c r="S93" s="2"/>
      <c r="T93" s="6">
        <v>30000</v>
      </c>
      <c r="U93" s="2"/>
      <c r="V93" s="7">
        <f t="shared" si="69"/>
        <v>0</v>
      </c>
      <c r="W93" s="2"/>
      <c r="X93" s="6">
        <f t="shared" si="70"/>
        <v>469</v>
      </c>
      <c r="Y93" s="2"/>
      <c r="Z93" s="7">
        <f t="shared" si="71"/>
        <v>1.5633333333333332E-2</v>
      </c>
    </row>
    <row r="94" spans="1:26" s="62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6" t="s">
        <v>0</v>
      </c>
      <c r="C95" s="10"/>
      <c r="D95" s="4">
        <f>SUM(OSRRefD25x_0)</f>
        <v>49798.51</v>
      </c>
      <c r="E95" s="4"/>
      <c r="F95" s="12">
        <f t="shared" ref="F95:F97" si="72">IF(D$12=0,0,D95/D$12)</f>
        <v>0</v>
      </c>
      <c r="G95" s="4"/>
      <c r="H95" s="4">
        <f>SUM(OSRRefH25x_0)</f>
        <v>17275</v>
      </c>
      <c r="I95" s="4"/>
      <c r="J95" s="12">
        <f t="shared" ref="J95:J97" si="73">IF(H$12=0,0,H95/H$12)</f>
        <v>0</v>
      </c>
      <c r="K95" s="4"/>
      <c r="L95" s="4">
        <f t="shared" ref="L95:L97" si="74">+D95-H95</f>
        <v>32523.510000000002</v>
      </c>
      <c r="M95" s="4"/>
      <c r="N95" s="12">
        <f t="shared" ref="N95:N97" si="75">IF(H95=0,0,L95/H95)</f>
        <v>1.8826923299565848</v>
      </c>
      <c r="O95" s="10"/>
      <c r="P95" s="4">
        <f>SUM(OSRRefP25x_0)</f>
        <v>120510.23</v>
      </c>
      <c r="Q95" s="4"/>
      <c r="R95" s="12">
        <f t="shared" ref="R95:R97" si="76">IF(P$12=0,0,P95/P$12)</f>
        <v>0</v>
      </c>
      <c r="S95" s="4"/>
      <c r="T95" s="4">
        <f>SUM(OSRRefT25x_0)</f>
        <v>86375</v>
      </c>
      <c r="U95" s="4"/>
      <c r="V95" s="12">
        <f t="shared" ref="V95:V97" si="77">IF(T$12=0,0,T95/T$12)</f>
        <v>0</v>
      </c>
      <c r="W95" s="4"/>
      <c r="X95" s="4">
        <f t="shared" ref="X95:X97" si="78">+P95-T95</f>
        <v>34135.229999999996</v>
      </c>
      <c r="Y95" s="4"/>
      <c r="Z95" s="12">
        <f t="shared" ref="Z95:Z97" si="79">IF(T95=0,0,X95/T95)</f>
        <v>0.39519803183791602</v>
      </c>
    </row>
    <row r="96" spans="1:26" s="24" customFormat="1" hidden="1" outlineLevel="1" x14ac:dyDescent="0.25">
      <c r="A96" s="51"/>
      <c r="B96" s="11" t="str">
        <f>CONCATENATE("          ", "9150", " - ", "MISC. INCOME")</f>
        <v xml:space="preserve">          9150 - MISC. INCOME</v>
      </c>
      <c r="C96" s="11"/>
      <c r="D96" s="2">
        <f>--49798.51</f>
        <v>49798.51</v>
      </c>
      <c r="E96" s="2"/>
      <c r="F96" s="22">
        <f t="shared" si="72"/>
        <v>0</v>
      </c>
      <c r="G96" s="2"/>
      <c r="H96" s="2">
        <v>2100</v>
      </c>
      <c r="I96" s="2"/>
      <c r="J96" s="22">
        <f t="shared" si="73"/>
        <v>0</v>
      </c>
      <c r="K96" s="2"/>
      <c r="L96" s="2">
        <f t="shared" si="74"/>
        <v>47698.51</v>
      </c>
      <c r="M96" s="2"/>
      <c r="N96" s="22">
        <f t="shared" si="75"/>
        <v>22.713576190476193</v>
      </c>
      <c r="O96" s="11"/>
      <c r="P96" s="2">
        <f>--120510.23</f>
        <v>120510.23</v>
      </c>
      <c r="Q96" s="2"/>
      <c r="R96" s="22">
        <f t="shared" si="76"/>
        <v>0</v>
      </c>
      <c r="S96" s="2"/>
      <c r="T96" s="2">
        <v>10500</v>
      </c>
      <c r="U96" s="2"/>
      <c r="V96" s="22">
        <f t="shared" si="77"/>
        <v>0</v>
      </c>
      <c r="W96" s="2"/>
      <c r="X96" s="2">
        <f t="shared" si="78"/>
        <v>110010.23</v>
      </c>
      <c r="Y96" s="2"/>
      <c r="Z96" s="22">
        <f t="shared" si="79"/>
        <v>10.477164761904762</v>
      </c>
    </row>
    <row r="97" spans="1:26" s="24" customFormat="1" hidden="1" outlineLevel="1" x14ac:dyDescent="0.25">
      <c r="A97" s="51"/>
      <c r="B97" s="11" t="str">
        <f>CONCATENATE("          ", "9151", " - ", "MISC. INCOME")</f>
        <v xml:space="preserve">          9151 - MISC. INCOME</v>
      </c>
      <c r="C97" s="11"/>
      <c r="D97" s="2">
        <f>0</f>
        <v>0</v>
      </c>
      <c r="E97" s="2"/>
      <c r="F97" s="22">
        <f t="shared" si="72"/>
        <v>0</v>
      </c>
      <c r="G97" s="2"/>
      <c r="H97" s="2">
        <v>15175</v>
      </c>
      <c r="I97" s="2"/>
      <c r="J97" s="22">
        <f t="shared" si="73"/>
        <v>0</v>
      </c>
      <c r="K97" s="2"/>
      <c r="L97" s="2">
        <f t="shared" si="74"/>
        <v>-15175</v>
      </c>
      <c r="M97" s="2"/>
      <c r="N97" s="22">
        <f t="shared" si="75"/>
        <v>-1</v>
      </c>
      <c r="O97" s="11"/>
      <c r="P97" s="2">
        <f>0</f>
        <v>0</v>
      </c>
      <c r="Q97" s="2"/>
      <c r="R97" s="22">
        <f t="shared" si="76"/>
        <v>0</v>
      </c>
      <c r="S97" s="2"/>
      <c r="T97" s="2">
        <v>75875</v>
      </c>
      <c r="U97" s="2"/>
      <c r="V97" s="22">
        <f t="shared" si="77"/>
        <v>0</v>
      </c>
      <c r="W97" s="2"/>
      <c r="X97" s="2">
        <f t="shared" si="78"/>
        <v>-75875</v>
      </c>
      <c r="Y97" s="2"/>
      <c r="Z97" s="22">
        <f t="shared" si="79"/>
        <v>-1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5" t="s">
        <v>3</v>
      </c>
      <c r="C99" s="25"/>
      <c r="D99" s="21">
        <f>+D16-D18+D95</f>
        <v>-46503.08999999996</v>
      </c>
      <c r="E99" s="13"/>
      <c r="F99" s="20">
        <f>IF(D$12=0,0,D99/D$12)</f>
        <v>0</v>
      </c>
      <c r="G99" s="13"/>
      <c r="H99" s="21">
        <f>+H16-H18+H95</f>
        <v>-89176.67944033847</v>
      </c>
      <c r="I99" s="13"/>
      <c r="J99" s="20">
        <f>IF(H$12=0,0,H99/H$12)</f>
        <v>0</v>
      </c>
      <c r="K99" s="16"/>
      <c r="L99" s="21">
        <f>+D99-H99</f>
        <v>42673.58944033851</v>
      </c>
      <c r="M99" s="16"/>
      <c r="N99" s="20">
        <f>IF(H99=0,0,L99/H99)</f>
        <v>-0.47852857617207262</v>
      </c>
      <c r="O99" s="26"/>
      <c r="P99" s="21">
        <f>+P16-P18+P95</f>
        <v>-510881.88000000012</v>
      </c>
      <c r="Q99" s="13"/>
      <c r="R99" s="20">
        <f>IF(P$12=0,0,P99/P$12)</f>
        <v>0</v>
      </c>
      <c r="S99" s="13"/>
      <c r="T99" s="21">
        <f>+T16-T18+T95</f>
        <v>-692654.85937686148</v>
      </c>
      <c r="U99" s="13"/>
      <c r="V99" s="20">
        <f>IF(T$12=0,0,T99/T$12)</f>
        <v>0</v>
      </c>
      <c r="W99" s="16"/>
      <c r="X99" s="21">
        <f>+P99-T99</f>
        <v>181772.97937686136</v>
      </c>
      <c r="Y99" s="16"/>
      <c r="Z99" s="20">
        <f>IF(T99=0,0,X99/T99)</f>
        <v>-0.26242937144827255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4</v>
      </c>
      <c r="C103" s="25"/>
      <c r="D103" s="31">
        <f>+D99-D101</f>
        <v>-46503.08999999996</v>
      </c>
      <c r="E103" s="13"/>
      <c r="F103" s="34">
        <f>IF(D$12=0,0,D103/D$12)</f>
        <v>0</v>
      </c>
      <c r="G103" s="13"/>
      <c r="H103" s="31">
        <f>+H99-H101</f>
        <v>-89176.67944033847</v>
      </c>
      <c r="I103" s="13"/>
      <c r="J103" s="34">
        <f>IF(H$12=0,0,H103/H$12)</f>
        <v>0</v>
      </c>
      <c r="K103" s="16"/>
      <c r="L103" s="31">
        <f>D103-H103</f>
        <v>42673.58944033851</v>
      </c>
      <c r="M103" s="16"/>
      <c r="N103" s="34">
        <f>IF(H103=0,0,L103/H103)</f>
        <v>-0.47852857617207262</v>
      </c>
      <c r="O103" s="26"/>
      <c r="P103" s="31">
        <f>+P99-P101</f>
        <v>-510881.88000000012</v>
      </c>
      <c r="Q103" s="13"/>
      <c r="R103" s="34">
        <f>IF(P$12=0,0,P103/P$12)</f>
        <v>0</v>
      </c>
      <c r="S103" s="13"/>
      <c r="T103" s="31">
        <f>+T99-T101</f>
        <v>-692654.85937686148</v>
      </c>
      <c r="U103" s="13"/>
      <c r="V103" s="34">
        <f>IF(T$12=0,0,T103/T$12)</f>
        <v>0</v>
      </c>
      <c r="W103" s="16"/>
      <c r="X103" s="31">
        <f>P103-T103</f>
        <v>181772.97937686136</v>
      </c>
      <c r="Y103" s="16"/>
      <c r="Z103" s="34">
        <f>IF(T103=0,0,X103/T103)</f>
        <v>-0.26242937144827255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5</v>
      </c>
      <c r="C106" s="25"/>
      <c r="D106" s="33">
        <f>SUM(D103:D105)</f>
        <v>-46503.08999999996</v>
      </c>
      <c r="E106" s="13"/>
      <c r="F106" s="30">
        <f>IF(D$12=0,0,D106/D$12)</f>
        <v>0</v>
      </c>
      <c r="G106" s="13"/>
      <c r="H106" s="33">
        <f>SUM(H103:H105)</f>
        <v>-89176.67944033847</v>
      </c>
      <c r="I106" s="13"/>
      <c r="J106" s="30">
        <f>IF(H$12=0,0,H106/H$12)</f>
        <v>0</v>
      </c>
      <c r="K106" s="16"/>
      <c r="L106" s="33">
        <f>+D106-H106</f>
        <v>42673.58944033851</v>
      </c>
      <c r="M106" s="16"/>
      <c r="N106" s="30">
        <f>IF(H106=0,0,L106/H106)</f>
        <v>-0.47852857617207262</v>
      </c>
      <c r="O106" s="26"/>
      <c r="P106" s="33">
        <f>SUM(P103:P105)</f>
        <v>-510881.88000000012</v>
      </c>
      <c r="Q106" s="13"/>
      <c r="R106" s="30">
        <f>IF(P$12=0,0,P106/P$12)</f>
        <v>0</v>
      </c>
      <c r="S106" s="13"/>
      <c r="T106" s="33">
        <f>SUM(T103:T105)</f>
        <v>-692654.85937686148</v>
      </c>
      <c r="U106" s="13"/>
      <c r="V106" s="30">
        <f>IF(T$12=0,0,T106/T$12)</f>
        <v>0</v>
      </c>
      <c r="W106" s="16"/>
      <c r="X106" s="33">
        <f>+P106-T106</f>
        <v>181772.97937686136</v>
      </c>
      <c r="Y106" s="16"/>
      <c r="Z106" s="30">
        <f>IF(T106=0,0,X106/T106)</f>
        <v>-0.26242937144827255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5">
        <v>44174.679434641206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7" t="s">
        <v>314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3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306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9202</v>
      </c>
      <c r="I12" s="4"/>
      <c r="J12" s="12"/>
      <c r="K12" s="4"/>
      <c r="L12" s="4">
        <f t="shared" ref="L12:L23" si="0">+D12-H12</f>
        <v>-9202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43614</v>
      </c>
      <c r="U12" s="4"/>
      <c r="V12" s="12"/>
      <c r="W12" s="4"/>
      <c r="X12" s="4">
        <f t="shared" ref="X12:X23" si="2">+P12-T12</f>
        <v>-22302.080000000002</v>
      </c>
      <c r="Y12" s="4"/>
      <c r="Z12" s="12">
        <f t="shared" ref="Z12:Z23" si="3">IF(T12=0,0,X12/T12)</f>
        <v>-0.51135140092630815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9202</v>
      </c>
      <c r="I20" s="2"/>
      <c r="J20" s="22"/>
      <c r="K20" s="2"/>
      <c r="L20" s="2">
        <f t="shared" si="0"/>
        <v>-9202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43614</v>
      </c>
      <c r="U20" s="2"/>
      <c r="V20" s="22"/>
      <c r="W20" s="2"/>
      <c r="X20" s="2">
        <f t="shared" si="2"/>
        <v>-43614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17.61</v>
      </c>
      <c r="E25" s="4"/>
      <c r="F25" s="12">
        <f t="shared" ref="F25:F33" si="5">IF(D$12=0,0,D25/D$12)</f>
        <v>0</v>
      </c>
      <c r="G25" s="4"/>
      <c r="H25" s="4">
        <f>SUM(OSRRefH16x_0)</f>
        <v>4610</v>
      </c>
      <c r="I25" s="4"/>
      <c r="J25" s="12">
        <f t="shared" ref="J25:J33" si="6">IF(H$12=0,0,H25/H$12)</f>
        <v>0.50097804825038039</v>
      </c>
      <c r="K25" s="4"/>
      <c r="L25" s="4">
        <f t="shared" ref="L25:L33" si="7">+D25-H25</f>
        <v>-4592.3900000000003</v>
      </c>
      <c r="M25" s="4"/>
      <c r="N25" s="12">
        <f t="shared" ref="N25:N33" si="8">IF(H25=0,0,L25/H25)</f>
        <v>-0.99618004338394806</v>
      </c>
      <c r="O25" s="10"/>
      <c r="P25" s="4">
        <f>SUM(OSRRefP16x_0)</f>
        <v>14200.659999999993</v>
      </c>
      <c r="Q25" s="4"/>
      <c r="R25" s="12">
        <f t="shared" ref="R25:R33" si="9">IF(P$12=0,0,P25/P$12)</f>
        <v>0.6663247609788322</v>
      </c>
      <c r="S25" s="4"/>
      <c r="T25" s="4">
        <f>SUM(OSRRefT16x_0)</f>
        <v>22258</v>
      </c>
      <c r="U25" s="4"/>
      <c r="V25" s="12">
        <f t="shared" ref="V25:V33" si="10">IF(T$12=0,0,T25/T$12)</f>
        <v>0.5103407162837621</v>
      </c>
      <c r="W25" s="4"/>
      <c r="X25" s="4">
        <f t="shared" ref="X25:X33" si="11">+P25-T25</f>
        <v>-8057.3400000000074</v>
      </c>
      <c r="Y25" s="4"/>
      <c r="Z25" s="12">
        <f t="shared" ref="Z25:Z33" si="12">IF(T25=0,0,X25/T25)</f>
        <v>-0.36199748405067872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4610</v>
      </c>
      <c r="I26" s="2"/>
      <c r="J26" s="22">
        <f t="shared" si="6"/>
        <v>0.50097804825038039</v>
      </c>
      <c r="K26" s="2"/>
      <c r="L26" s="2">
        <f t="shared" si="7"/>
        <v>-4610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22258</v>
      </c>
      <c r="U26" s="2"/>
      <c r="V26" s="22">
        <f t="shared" si="10"/>
        <v>0.5103407162837621</v>
      </c>
      <c r="W26" s="2"/>
      <c r="X26" s="2">
        <f t="shared" si="11"/>
        <v>-22258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370.02</v>
      </c>
      <c r="Q27" s="2"/>
      <c r="R27" s="22">
        <f t="shared" si="9"/>
        <v>1.7362114722652863E-2</v>
      </c>
      <c r="S27" s="2"/>
      <c r="T27" s="2"/>
      <c r="U27" s="2"/>
      <c r="V27" s="22">
        <f t="shared" si="10"/>
        <v>0</v>
      </c>
      <c r="W27" s="2"/>
      <c r="X27" s="2">
        <f t="shared" si="11"/>
        <v>370.02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>
        <v>15.89</v>
      </c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15.89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2929.67</v>
      </c>
      <c r="Q30" s="2"/>
      <c r="R30" s="22">
        <f t="shared" si="9"/>
        <v>0.13746626301149781</v>
      </c>
      <c r="S30" s="2"/>
      <c r="T30" s="2"/>
      <c r="U30" s="2"/>
      <c r="V30" s="22">
        <f t="shared" si="10"/>
        <v>0</v>
      </c>
      <c r="W30" s="2"/>
      <c r="X30" s="2">
        <f t="shared" si="11"/>
        <v>2929.67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1.72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1.72</v>
      </c>
      <c r="M33" s="2"/>
      <c r="N33" s="22">
        <f t="shared" si="8"/>
        <v>0</v>
      </c>
      <c r="O33" s="11"/>
      <c r="P33" s="2">
        <v>281.98</v>
      </c>
      <c r="Q33" s="2"/>
      <c r="R33" s="22">
        <f t="shared" si="9"/>
        <v>1.3231093209809348E-2</v>
      </c>
      <c r="S33" s="2"/>
      <c r="T33" s="2"/>
      <c r="U33" s="2"/>
      <c r="V33" s="22">
        <f t="shared" si="10"/>
        <v>0</v>
      </c>
      <c r="W33" s="2"/>
      <c r="X33" s="2">
        <f t="shared" si="11"/>
        <v>281.98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21">
        <f>D12-D25</f>
        <v>-17.61</v>
      </c>
      <c r="E35" s="13"/>
      <c r="F35" s="20">
        <f>IF(D$12=0,0,D35/D$12)</f>
        <v>0</v>
      </c>
      <c r="G35" s="13"/>
      <c r="H35" s="21">
        <f>H12-H25</f>
        <v>4592</v>
      </c>
      <c r="I35" s="13"/>
      <c r="J35" s="20">
        <f>IF(H$12=0,0,H35/H$12)</f>
        <v>0.49902195174961966</v>
      </c>
      <c r="K35" s="16"/>
      <c r="L35" s="21">
        <f>+D35-H35</f>
        <v>-4609.6099999999997</v>
      </c>
      <c r="M35" s="16"/>
      <c r="N35" s="20">
        <f>IF(H35=0,0,L35/H35)</f>
        <v>-1.0038349303135887</v>
      </c>
      <c r="O35" s="26"/>
      <c r="P35" s="21">
        <f>P12-P25</f>
        <v>7111.2600000000057</v>
      </c>
      <c r="Q35" s="13"/>
      <c r="R35" s="20">
        <f>IF(P$12=0,0,P35/P$12)</f>
        <v>0.3336752390211678</v>
      </c>
      <c r="S35" s="13"/>
      <c r="T35" s="21">
        <f>T12-T25</f>
        <v>21356</v>
      </c>
      <c r="U35" s="13"/>
      <c r="V35" s="20">
        <f>IF(T$12=0,0,T35/T$12)</f>
        <v>0.4896592837162379</v>
      </c>
      <c r="W35" s="16"/>
      <c r="X35" s="21">
        <f>+P35-T35</f>
        <v>-14244.739999999994</v>
      </c>
      <c r="Y35" s="16"/>
      <c r="Z35" s="20">
        <f>IF(T35=0,0,X35/T35)</f>
        <v>-0.66701348567147378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19">
        <f>SUM(OSRRefD22x_0)</f>
        <v>535.58000000000004</v>
      </c>
      <c r="E37" s="19"/>
      <c r="F37" s="35">
        <f t="shared" ref="F37:F46" si="13">IF(D$12=0,0,D37/D$12)</f>
        <v>0</v>
      </c>
      <c r="G37" s="19"/>
      <c r="H37" s="19">
        <f>SUM(OSRRefH22x_0)</f>
        <v>9610.5904159999991</v>
      </c>
      <c r="I37" s="19"/>
      <c r="J37" s="35">
        <f t="shared" ref="J37:J46" si="14">IF(H$12=0,0,H37/H$12)</f>
        <v>1.0444023490545533</v>
      </c>
      <c r="K37" s="4"/>
      <c r="L37" s="19">
        <f t="shared" ref="L37:L46" si="15">+D37-H37</f>
        <v>-9075.0104159999992</v>
      </c>
      <c r="M37" s="4"/>
      <c r="N37" s="35">
        <f t="shared" ref="N37:N46" si="16">IF(H37=0,0,L37/H37)</f>
        <v>-0.94427189414831891</v>
      </c>
      <c r="O37" s="10"/>
      <c r="P37" s="19">
        <f>SUM(OSRRefP22x_0)</f>
        <v>12153.639999999996</v>
      </c>
      <c r="Q37" s="19"/>
      <c r="R37" s="35">
        <f t="shared" ref="R37:R46" si="17">IF(P$12=0,0,P37/P$12)</f>
        <v>0.57027428781639555</v>
      </c>
      <c r="S37" s="19"/>
      <c r="T37" s="19">
        <f>SUM(OSRRefT22x_0)</f>
        <v>51026.820426999999</v>
      </c>
      <c r="U37" s="19"/>
      <c r="V37" s="35">
        <f t="shared" ref="V37:V46" si="18">IF(T$12=0,0,T37/T$12)</f>
        <v>1.1699642414591644</v>
      </c>
      <c r="W37" s="4"/>
      <c r="X37" s="19">
        <f t="shared" ref="X37:X46" si="19">+P37-T37</f>
        <v>-38873.180426999999</v>
      </c>
      <c r="Y37" s="4"/>
      <c r="Z37" s="35">
        <f t="shared" ref="Z37:Z46" si="20">IF(T37=0,0,X37/T37)</f>
        <v>-0.76181859072745395</v>
      </c>
    </row>
    <row r="38" spans="1:26" s="29" customFormat="1" outlineLevel="1" collapsed="1" x14ac:dyDescent="0.2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1.39</v>
      </c>
      <c r="E38" s="1"/>
      <c r="F38" s="5">
        <f t="shared" si="13"/>
        <v>0</v>
      </c>
      <c r="G38" s="1"/>
      <c r="H38" s="1">
        <f>SUM(OSRRefH22_0x_0)</f>
        <v>1793.3904159999997</v>
      </c>
      <c r="I38" s="1"/>
      <c r="J38" s="5">
        <f t="shared" si="14"/>
        <v>0.1948913731797435</v>
      </c>
      <c r="K38" s="1"/>
      <c r="L38" s="1">
        <f t="shared" si="15"/>
        <v>-1792.0004159999996</v>
      </c>
      <c r="M38" s="1"/>
      <c r="N38" s="5">
        <f t="shared" si="16"/>
        <v>-0.9992249317339944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9404.7704269999995</v>
      </c>
      <c r="U38" s="1"/>
      <c r="V38" s="5">
        <f t="shared" si="18"/>
        <v>0.21563650265969642</v>
      </c>
      <c r="W38" s="1"/>
      <c r="X38" s="1">
        <f t="shared" si="19"/>
        <v>-8626.5704269999987</v>
      </c>
      <c r="Y38" s="1"/>
      <c r="Z38" s="5">
        <f t="shared" si="20"/>
        <v>-0.91725475852489935</v>
      </c>
    </row>
    <row r="39" spans="1:26" s="24" customFormat="1" hidden="1" outlineLevel="2" x14ac:dyDescent="0.25">
      <c r="A39" s="28"/>
      <c r="B39" s="11" t="str">
        <f>CONCATENATE("          ", "6111", " - ", "F.I.C.A.")</f>
        <v xml:space="preserve">          6111 - F.I.C.A.</v>
      </c>
      <c r="C39" s="11"/>
      <c r="D39" s="6">
        <v>1.39</v>
      </c>
      <c r="E39" s="2"/>
      <c r="F39" s="7">
        <f t="shared" si="13"/>
        <v>0</v>
      </c>
      <c r="G39" s="2"/>
      <c r="H39" s="6">
        <v>369.88479599999999</v>
      </c>
      <c r="I39" s="2"/>
      <c r="J39" s="7">
        <f t="shared" si="14"/>
        <v>4.0196130841121495E-2</v>
      </c>
      <c r="K39" s="2"/>
      <c r="L39" s="6">
        <f t="shared" si="15"/>
        <v>-368.49479600000001</v>
      </c>
      <c r="M39" s="2"/>
      <c r="N39" s="7">
        <f t="shared" si="16"/>
        <v>-0.99624207316701929</v>
      </c>
      <c r="O39" s="11"/>
      <c r="P39" s="6">
        <v>484.61</v>
      </c>
      <c r="Q39" s="2"/>
      <c r="R39" s="7">
        <f t="shared" si="17"/>
        <v>2.2738917938881154E-2</v>
      </c>
      <c r="S39" s="2"/>
      <c r="T39" s="6">
        <v>1994.555472</v>
      </c>
      <c r="U39" s="2"/>
      <c r="V39" s="7">
        <f t="shared" si="18"/>
        <v>4.5732000550282023E-2</v>
      </c>
      <c r="W39" s="2"/>
      <c r="X39" s="6">
        <f t="shared" si="19"/>
        <v>-1509.9454719999999</v>
      </c>
      <c r="Y39" s="2"/>
      <c r="Z39" s="7">
        <f t="shared" si="20"/>
        <v>-0.75703358126506892</v>
      </c>
    </row>
    <row r="40" spans="1:26" s="24" customFormat="1" hidden="1" outlineLevel="2" x14ac:dyDescent="0.25">
      <c r="A40" s="28"/>
      <c r="B40" s="11" t="str">
        <f>CONCATENATE("          ", "6112", " - ", "COMPENSATION INSURANCE")</f>
        <v xml:space="preserve">          6112 - COMPENSATION INSURANCE</v>
      </c>
      <c r="C40" s="11"/>
      <c r="D40" s="6"/>
      <c r="E40" s="2"/>
      <c r="F40" s="7">
        <f t="shared" si="13"/>
        <v>0</v>
      </c>
      <c r="G40" s="2"/>
      <c r="H40" s="6">
        <v>114.9627</v>
      </c>
      <c r="I40" s="2"/>
      <c r="J40" s="7">
        <f t="shared" si="14"/>
        <v>1.2493229732666811E-2</v>
      </c>
      <c r="K40" s="2"/>
      <c r="L40" s="6">
        <f t="shared" si="15"/>
        <v>-114.9627</v>
      </c>
      <c r="M40" s="2"/>
      <c r="N40" s="7">
        <f t="shared" si="16"/>
        <v>-1</v>
      </c>
      <c r="O40" s="11"/>
      <c r="P40" s="6">
        <v>255.57</v>
      </c>
      <c r="Q40" s="2"/>
      <c r="R40" s="7">
        <f t="shared" si="17"/>
        <v>1.1991880600152403E-2</v>
      </c>
      <c r="S40" s="2"/>
      <c r="T40" s="6">
        <v>600.954925</v>
      </c>
      <c r="U40" s="2"/>
      <c r="V40" s="7">
        <f t="shared" si="18"/>
        <v>1.3778945407437978E-2</v>
      </c>
      <c r="W40" s="2"/>
      <c r="X40" s="6">
        <f t="shared" si="19"/>
        <v>-345.38492500000001</v>
      </c>
      <c r="Y40" s="2"/>
      <c r="Z40" s="7">
        <f t="shared" si="20"/>
        <v>-0.57472683995392837</v>
      </c>
    </row>
    <row r="41" spans="1:26" s="24" customFormat="1" hidden="1" outlineLevel="2" x14ac:dyDescent="0.25">
      <c r="A41" s="28"/>
      <c r="B41" s="11" t="str">
        <f>CONCATENATE("          ", "6113", " - ", "GROUP INSURANCE")</f>
        <v xml:space="preserve">          6113 - GROUP INSURANCE</v>
      </c>
      <c r="C41" s="11"/>
      <c r="D41" s="6"/>
      <c r="E41" s="2"/>
      <c r="F41" s="7">
        <f t="shared" si="13"/>
        <v>0</v>
      </c>
      <c r="G41" s="2"/>
      <c r="H41" s="6">
        <v>665</v>
      </c>
      <c r="I41" s="2"/>
      <c r="J41" s="7">
        <f t="shared" si="14"/>
        <v>7.2266898500326013E-2</v>
      </c>
      <c r="K41" s="2"/>
      <c r="L41" s="6">
        <f t="shared" si="15"/>
        <v>-665</v>
      </c>
      <c r="M41" s="2"/>
      <c r="N41" s="7">
        <f t="shared" si="16"/>
        <v>-1</v>
      </c>
      <c r="O41" s="11"/>
      <c r="P41" s="6"/>
      <c r="Q41" s="2"/>
      <c r="R41" s="7">
        <f t="shared" si="17"/>
        <v>0</v>
      </c>
      <c r="S41" s="2"/>
      <c r="T41" s="6">
        <v>3325</v>
      </c>
      <c r="U41" s="2"/>
      <c r="V41" s="7">
        <f t="shared" si="18"/>
        <v>7.6236988123079746E-2</v>
      </c>
      <c r="W41" s="2"/>
      <c r="X41" s="6">
        <f t="shared" si="19"/>
        <v>-3325</v>
      </c>
      <c r="Y41" s="2"/>
      <c r="Z41" s="7">
        <f t="shared" si="20"/>
        <v>-1</v>
      </c>
    </row>
    <row r="42" spans="1:26" s="24" customFormat="1" hidden="1" outlineLevel="2" x14ac:dyDescent="0.25">
      <c r="A42" s="28"/>
      <c r="B42" s="11" t="str">
        <f>CONCATENATE("          ", "6114", " - ", "STATE UNEMPLOYMENT INSURANCE")</f>
        <v xml:space="preserve">          6114 - STATE UNEMPLOYMENT INSURANCE</v>
      </c>
      <c r="C42" s="11"/>
      <c r="D42" s="6"/>
      <c r="E42" s="2"/>
      <c r="F42" s="7">
        <f t="shared" si="13"/>
        <v>0</v>
      </c>
      <c r="G42" s="2"/>
      <c r="H42" s="6">
        <v>16.15692</v>
      </c>
      <c r="I42" s="2"/>
      <c r="J42" s="7">
        <f t="shared" si="14"/>
        <v>1.7558052597261464E-3</v>
      </c>
      <c r="K42" s="2"/>
      <c r="L42" s="6">
        <f t="shared" si="15"/>
        <v>-16.15692</v>
      </c>
      <c r="M42" s="2"/>
      <c r="N42" s="7">
        <f t="shared" si="16"/>
        <v>-1</v>
      </c>
      <c r="O42" s="11"/>
      <c r="P42" s="6">
        <v>38.020000000000003</v>
      </c>
      <c r="Q42" s="2"/>
      <c r="R42" s="7">
        <f t="shared" si="17"/>
        <v>1.7839781680862169E-3</v>
      </c>
      <c r="S42" s="2"/>
      <c r="T42" s="6">
        <v>84.458529999999996</v>
      </c>
      <c r="U42" s="2"/>
      <c r="V42" s="7">
        <f t="shared" si="18"/>
        <v>1.936500435639932E-3</v>
      </c>
      <c r="W42" s="2"/>
      <c r="X42" s="6">
        <f t="shared" si="19"/>
        <v>-46.438529999999993</v>
      </c>
      <c r="Y42" s="2"/>
      <c r="Z42" s="7">
        <f t="shared" si="20"/>
        <v>-0.54983824605993015</v>
      </c>
    </row>
    <row r="43" spans="1:26" s="24" customFormat="1" hidden="1" outlineLevel="2" x14ac:dyDescent="0.25">
      <c r="A43" s="28"/>
      <c r="B43" s="11" t="str">
        <f>CONCATENATE("          ", "6115", " - ", "P.E.R.S.")</f>
        <v xml:space="preserve">          6115 - P.E.R.S.</v>
      </c>
      <c r="C43" s="11"/>
      <c r="D43" s="6"/>
      <c r="E43" s="2"/>
      <c r="F43" s="7">
        <f t="shared" si="13"/>
        <v>0</v>
      </c>
      <c r="G43" s="2"/>
      <c r="H43" s="6">
        <v>357.76</v>
      </c>
      <c r="I43" s="2"/>
      <c r="J43" s="7">
        <f t="shared" si="14"/>
        <v>3.8878504672897198E-2</v>
      </c>
      <c r="K43" s="2"/>
      <c r="L43" s="6">
        <f t="shared" si="15"/>
        <v>-357.76</v>
      </c>
      <c r="M43" s="2"/>
      <c r="N43" s="7">
        <f t="shared" si="16"/>
        <v>-1</v>
      </c>
      <c r="O43" s="11"/>
      <c r="P43" s="6"/>
      <c r="Q43" s="2"/>
      <c r="R43" s="7">
        <f t="shared" si="17"/>
        <v>0</v>
      </c>
      <c r="S43" s="2"/>
      <c r="T43" s="6">
        <v>1967.68</v>
      </c>
      <c r="U43" s="2"/>
      <c r="V43" s="7">
        <f t="shared" si="18"/>
        <v>4.511578850827716E-2</v>
      </c>
      <c r="W43" s="2"/>
      <c r="X43" s="6">
        <f t="shared" si="19"/>
        <v>-1967.68</v>
      </c>
      <c r="Y43" s="2"/>
      <c r="Z43" s="7">
        <f t="shared" si="20"/>
        <v>-1</v>
      </c>
    </row>
    <row r="44" spans="1:26" s="24" customFormat="1" hidden="1" outlineLevel="2" x14ac:dyDescent="0.25">
      <c r="A44" s="28"/>
      <c r="B44" s="11" t="str">
        <f>CONCATENATE("          ", "6116", " - ", "EDUCATIONAL BENEFITS")</f>
        <v xml:space="preserve">          6116 - EDUCATIONAL BENEFITS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/>
      <c r="Q44" s="2"/>
      <c r="R44" s="7">
        <f t="shared" si="17"/>
        <v>0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0</v>
      </c>
      <c r="Y44" s="2"/>
      <c r="Z44" s="7">
        <f t="shared" si="20"/>
        <v>0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6"/>
      <c r="E45" s="2"/>
      <c r="F45" s="7">
        <f t="shared" si="13"/>
        <v>0</v>
      </c>
      <c r="G45" s="2"/>
      <c r="H45" s="6">
        <v>124.8</v>
      </c>
      <c r="I45" s="2"/>
      <c r="J45" s="7">
        <f t="shared" si="14"/>
        <v>1.3562269071940882E-2</v>
      </c>
      <c r="K45" s="2"/>
      <c r="L45" s="6">
        <f t="shared" si="15"/>
        <v>-124.8</v>
      </c>
      <c r="M45" s="2"/>
      <c r="N45" s="7">
        <f t="shared" si="16"/>
        <v>-1</v>
      </c>
      <c r="O45" s="11"/>
      <c r="P45" s="6"/>
      <c r="Q45" s="2"/>
      <c r="R45" s="7">
        <f t="shared" si="17"/>
        <v>0</v>
      </c>
      <c r="S45" s="2"/>
      <c r="T45" s="6">
        <v>686.4</v>
      </c>
      <c r="U45" s="2"/>
      <c r="V45" s="7">
        <f t="shared" si="18"/>
        <v>1.5738065758701333E-2</v>
      </c>
      <c r="W45" s="2"/>
      <c r="X45" s="6">
        <f t="shared" si="19"/>
        <v>-686.4</v>
      </c>
      <c r="Y45" s="2"/>
      <c r="Z45" s="7">
        <f t="shared" si="20"/>
        <v>-1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6"/>
      <c r="E46" s="2"/>
      <c r="F46" s="7">
        <f t="shared" si="13"/>
        <v>0</v>
      </c>
      <c r="G46" s="2"/>
      <c r="H46" s="6">
        <v>144.82599999999999</v>
      </c>
      <c r="I46" s="2"/>
      <c r="J46" s="7">
        <f t="shared" si="14"/>
        <v>1.5738535101064984E-2</v>
      </c>
      <c r="K46" s="2"/>
      <c r="L46" s="6">
        <f t="shared" si="15"/>
        <v>-144.82599999999999</v>
      </c>
      <c r="M46" s="2"/>
      <c r="N46" s="7">
        <f t="shared" si="16"/>
        <v>-1</v>
      </c>
      <c r="O46" s="11"/>
      <c r="P46" s="6"/>
      <c r="Q46" s="2"/>
      <c r="R46" s="7">
        <f t="shared" si="17"/>
        <v>0</v>
      </c>
      <c r="S46" s="2"/>
      <c r="T46" s="6">
        <v>745.72149999999999</v>
      </c>
      <c r="U46" s="2"/>
      <c r="V46" s="7">
        <f t="shared" si="18"/>
        <v>1.7098213876278259E-2</v>
      </c>
      <c r="W46" s="2"/>
      <c r="X46" s="6">
        <f t="shared" si="19"/>
        <v>-745.72149999999999</v>
      </c>
      <c r="Y46" s="2"/>
      <c r="Z46" s="7">
        <f t="shared" si="20"/>
        <v>-1</v>
      </c>
    </row>
    <row r="47" spans="1:26" s="29" customFormat="1" outlineLevel="1" collapsed="1" x14ac:dyDescent="0.2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18.190000000000001</v>
      </c>
      <c r="E47" s="1"/>
      <c r="F47" s="5">
        <f t="shared" ref="F47:F57" si="21">IF(D$12=0,0,D47/D$12)</f>
        <v>0</v>
      </c>
      <c r="G47" s="1"/>
      <c r="H47" s="1">
        <f>SUM(OSRRefH22_1x_0)</f>
        <v>6006.2</v>
      </c>
      <c r="I47" s="1"/>
      <c r="J47" s="5">
        <f t="shared" ref="J47:J57" si="22">IF(H$12=0,0,H47/H$12)</f>
        <v>0.65270593349271899</v>
      </c>
      <c r="K47" s="1"/>
      <c r="L47" s="1">
        <f t="shared" ref="L47:L57" si="23">+D47-H47</f>
        <v>-5988.01</v>
      </c>
      <c r="M47" s="1"/>
      <c r="N47" s="5">
        <f t="shared" ref="N47:N57" si="24">IF(H47=0,0,L47/H47)</f>
        <v>-0.99697146282175098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31340.050000000003</v>
      </c>
      <c r="U47" s="1"/>
      <c r="V47" s="5">
        <f t="shared" ref="V47:V57" si="26">IF(T$12=0,0,T47/T$12)</f>
        <v>0.71857775026367687</v>
      </c>
      <c r="W47" s="1"/>
      <c r="X47" s="1">
        <f t="shared" ref="X47:X57" si="27">+P47-T47</f>
        <v>-23187.510000000002</v>
      </c>
      <c r="Y47" s="1"/>
      <c r="Z47" s="5">
        <f t="shared" ref="Z47:Z57" si="28">IF(T47=0,0,X47/T47)</f>
        <v>-0.73986831546216425</v>
      </c>
    </row>
    <row r="48" spans="1:26" s="24" customFormat="1" hidden="1" outlineLevel="2" x14ac:dyDescent="0.25">
      <c r="A48" s="28"/>
      <c r="B48" s="11" t="str">
        <f>CONCATENATE("          ", "6001", " - ", "ADMINISTRATIVE SALARIES")</f>
        <v xml:space="preserve">          6001 - ADMINISTRATIVE SALARIES</v>
      </c>
      <c r="C48" s="11"/>
      <c r="D48" s="6"/>
      <c r="E48" s="2"/>
      <c r="F48" s="7">
        <f t="shared" si="21"/>
        <v>0</v>
      </c>
      <c r="G48" s="2"/>
      <c r="H48" s="6">
        <v>3952</v>
      </c>
      <c r="I48" s="2"/>
      <c r="J48" s="7">
        <f t="shared" si="22"/>
        <v>0.42947185394479459</v>
      </c>
      <c r="K48" s="2"/>
      <c r="L48" s="6">
        <f t="shared" si="23"/>
        <v>-3952</v>
      </c>
      <c r="M48" s="2"/>
      <c r="N48" s="7">
        <f t="shared" si="24"/>
        <v>-1</v>
      </c>
      <c r="O48" s="11"/>
      <c r="P48" s="6"/>
      <c r="Q48" s="2"/>
      <c r="R48" s="7">
        <f t="shared" si="25"/>
        <v>0</v>
      </c>
      <c r="S48" s="2"/>
      <c r="T48" s="6">
        <v>21736</v>
      </c>
      <c r="U48" s="2"/>
      <c r="V48" s="7">
        <f t="shared" si="26"/>
        <v>0.49837208235887559</v>
      </c>
      <c r="W48" s="2"/>
      <c r="X48" s="6">
        <f t="shared" si="27"/>
        <v>-21736</v>
      </c>
      <c r="Y48" s="2"/>
      <c r="Z48" s="7">
        <f t="shared" si="28"/>
        <v>-1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8"/>
      <c r="B50" s="11" t="str">
        <f>CONCATENATE("          ", "6003", " - ", "STAFF HOURLY-9 MONTH")</f>
        <v xml:space="preserve">          6003 - STAFF HOURLY-9 MONTH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4" customFormat="1" hidden="1" outlineLevel="2" x14ac:dyDescent="0.25">
      <c r="A51" s="28"/>
      <c r="B51" s="11" t="str">
        <f>CONCATENATE("          ", "6004", " - ", "STAFF HOURLY")</f>
        <v xml:space="preserve">          6004 - STAFF HOURLY</v>
      </c>
      <c r="C51" s="11"/>
      <c r="D51" s="6"/>
      <c r="E51" s="2"/>
      <c r="F51" s="7">
        <f t="shared" si="21"/>
        <v>0</v>
      </c>
      <c r="G51" s="2"/>
      <c r="H51" s="6">
        <v>673.2</v>
      </c>
      <c r="I51" s="2"/>
      <c r="J51" s="7">
        <f t="shared" si="22"/>
        <v>7.3158009128450344E-2</v>
      </c>
      <c r="K51" s="2"/>
      <c r="L51" s="6">
        <f t="shared" si="23"/>
        <v>-673.2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3182.4</v>
      </c>
      <c r="U51" s="2"/>
      <c r="V51" s="7">
        <f t="shared" si="26"/>
        <v>7.2967395790342546E-2</v>
      </c>
      <c r="W51" s="2"/>
      <c r="X51" s="6">
        <f t="shared" si="27"/>
        <v>-3182.4</v>
      </c>
      <c r="Y51" s="2"/>
      <c r="Z51" s="7">
        <f t="shared" si="28"/>
        <v>-1</v>
      </c>
    </row>
    <row r="52" spans="1:26" s="24" customFormat="1" hidden="1" outlineLevel="2" x14ac:dyDescent="0.25">
      <c r="A52" s="28"/>
      <c r="B52" s="11" t="str">
        <f>CONCATENATE("          ", "6005", " - ", "TEMPORARY WAGES-HOURLY")</f>
        <v xml:space="preserve">          6005 - TEMPORARY WAGES-HOURLY</v>
      </c>
      <c r="C52" s="11"/>
      <c r="D52" s="6">
        <v>18.190000000000001</v>
      </c>
      <c r="E52" s="2"/>
      <c r="F52" s="7">
        <f t="shared" si="21"/>
        <v>0</v>
      </c>
      <c r="G52" s="2"/>
      <c r="H52" s="6">
        <v>0</v>
      </c>
      <c r="I52" s="2"/>
      <c r="J52" s="7">
        <f t="shared" si="22"/>
        <v>0</v>
      </c>
      <c r="K52" s="2"/>
      <c r="L52" s="6">
        <f t="shared" si="23"/>
        <v>18.190000000000001</v>
      </c>
      <c r="M52" s="2"/>
      <c r="N52" s="7">
        <f t="shared" si="24"/>
        <v>0</v>
      </c>
      <c r="O52" s="11"/>
      <c r="P52" s="6">
        <v>5379.19</v>
      </c>
      <c r="Q52" s="2"/>
      <c r="R52" s="7">
        <f t="shared" si="25"/>
        <v>0.25240288064144384</v>
      </c>
      <c r="S52" s="2"/>
      <c r="T52" s="6">
        <v>0</v>
      </c>
      <c r="U52" s="2"/>
      <c r="V52" s="7">
        <f t="shared" si="26"/>
        <v>0</v>
      </c>
      <c r="W52" s="2"/>
      <c r="X52" s="6">
        <f t="shared" si="27"/>
        <v>5379.19</v>
      </c>
      <c r="Y52" s="2"/>
      <c r="Z52" s="7">
        <f t="shared" si="28"/>
        <v>0</v>
      </c>
    </row>
    <row r="53" spans="1:26" s="24" customFormat="1" hidden="1" outlineLevel="2" x14ac:dyDescent="0.25">
      <c r="A53" s="28"/>
      <c r="B53" s="11" t="str">
        <f>CONCATENATE("          ", "6006", " - ", "TEMPORARY PART TIME")</f>
        <v xml:space="preserve">          6006 - TEMPORARY PART TIME</v>
      </c>
      <c r="C53" s="11"/>
      <c r="D53" s="6"/>
      <c r="E53" s="2"/>
      <c r="F53" s="7">
        <f t="shared" si="21"/>
        <v>0</v>
      </c>
      <c r="G53" s="2"/>
      <c r="H53" s="6">
        <v>0</v>
      </c>
      <c r="I53" s="2"/>
      <c r="J53" s="7">
        <f t="shared" si="22"/>
        <v>0</v>
      </c>
      <c r="K53" s="2"/>
      <c r="L53" s="6">
        <f t="shared" si="23"/>
        <v>0</v>
      </c>
      <c r="M53" s="2"/>
      <c r="N53" s="7">
        <f t="shared" si="24"/>
        <v>0</v>
      </c>
      <c r="O53" s="11"/>
      <c r="P53" s="6"/>
      <c r="Q53" s="2"/>
      <c r="R53" s="7">
        <f t="shared" si="25"/>
        <v>0</v>
      </c>
      <c r="S53" s="2"/>
      <c r="T53" s="6">
        <v>0</v>
      </c>
      <c r="U53" s="2"/>
      <c r="V53" s="7">
        <f t="shared" si="26"/>
        <v>0</v>
      </c>
      <c r="W53" s="2"/>
      <c r="X53" s="6">
        <f t="shared" si="27"/>
        <v>0</v>
      </c>
      <c r="Y53" s="2"/>
      <c r="Z53" s="7">
        <f t="shared" si="28"/>
        <v>0</v>
      </c>
    </row>
    <row r="54" spans="1:26" s="24" customFormat="1" hidden="1" outlineLevel="2" x14ac:dyDescent="0.25">
      <c r="A54" s="28"/>
      <c r="B54" s="11" t="str">
        <f>CONCATENATE("          ", "6007", " - ", "STUDENT HOURLY")</f>
        <v xml:space="preserve">          6007 - STUDENT HOURLY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>
        <v>2773.35</v>
      </c>
      <c r="Q54" s="2"/>
      <c r="R54" s="7">
        <f t="shared" si="25"/>
        <v>0.13013140064339582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2773.35</v>
      </c>
      <c r="Y54" s="2"/>
      <c r="Z54" s="7">
        <f t="shared" si="28"/>
        <v>0</v>
      </c>
    </row>
    <row r="55" spans="1:26" s="24" customFormat="1" hidden="1" outlineLevel="2" x14ac:dyDescent="0.25">
      <c r="A55" s="28"/>
      <c r="B55" s="11" t="str">
        <f>CONCATENATE("          ", "6008", " - ", "STUDENT HOURLY-FICA EXEMPT")</f>
        <v xml:space="preserve">          6008 - STUDENT HOURLY-FICA EXEMPT</v>
      </c>
      <c r="C55" s="11"/>
      <c r="D55" s="6"/>
      <c r="E55" s="2"/>
      <c r="F55" s="7">
        <f t="shared" si="21"/>
        <v>0</v>
      </c>
      <c r="G55" s="2"/>
      <c r="H55" s="6">
        <v>1381</v>
      </c>
      <c r="I55" s="2"/>
      <c r="J55" s="7">
        <f t="shared" si="22"/>
        <v>0.15007607041947402</v>
      </c>
      <c r="K55" s="2"/>
      <c r="L55" s="6">
        <f t="shared" si="23"/>
        <v>-1381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6421.65</v>
      </c>
      <c r="U55" s="2"/>
      <c r="V55" s="7">
        <f t="shared" si="26"/>
        <v>0.14723827211445864</v>
      </c>
      <c r="W55" s="2"/>
      <c r="X55" s="6">
        <f t="shared" si="27"/>
        <v>-6421.65</v>
      </c>
      <c r="Y55" s="2"/>
      <c r="Z55" s="7">
        <f t="shared" si="28"/>
        <v>-1</v>
      </c>
    </row>
    <row r="56" spans="1:26" s="24" customFormat="1" hidden="1" outlineLevel="2" x14ac:dyDescent="0.25">
      <c r="A56" s="28"/>
      <c r="B56" s="11" t="str">
        <f>CONCATENATE("          ", "6009", " - ", "TEMPORARY-SEASONAL")</f>
        <v xml:space="preserve">          6009 - TEMPORARY-SEASONAL</v>
      </c>
      <c r="C56" s="11"/>
      <c r="D56" s="6"/>
      <c r="E56" s="2"/>
      <c r="F56" s="7">
        <f t="shared" si="21"/>
        <v>0</v>
      </c>
      <c r="G56" s="2"/>
      <c r="H56" s="6">
        <v>0</v>
      </c>
      <c r="I56" s="2"/>
      <c r="J56" s="7">
        <f t="shared" si="22"/>
        <v>0</v>
      </c>
      <c r="K56" s="2"/>
      <c r="L56" s="6">
        <f t="shared" si="23"/>
        <v>0</v>
      </c>
      <c r="M56" s="2"/>
      <c r="N56" s="7">
        <f t="shared" si="24"/>
        <v>0</v>
      </c>
      <c r="O56" s="11"/>
      <c r="P56" s="6"/>
      <c r="Q56" s="2"/>
      <c r="R56" s="7">
        <f t="shared" si="25"/>
        <v>0</v>
      </c>
      <c r="S56" s="2"/>
      <c r="T56" s="6">
        <v>0</v>
      </c>
      <c r="U56" s="2"/>
      <c r="V56" s="7">
        <f t="shared" si="26"/>
        <v>0</v>
      </c>
      <c r="W56" s="2"/>
      <c r="X56" s="6">
        <f t="shared" si="27"/>
        <v>0</v>
      </c>
      <c r="Y56" s="2"/>
      <c r="Z56" s="7">
        <f t="shared" si="28"/>
        <v>0</v>
      </c>
    </row>
    <row r="57" spans="1:26" s="24" customFormat="1" hidden="1" outlineLevel="2" x14ac:dyDescent="0.25">
      <c r="A57" s="28"/>
      <c r="B57" s="11" t="str">
        <f>CONCATENATE("          ", "6010", " - ", "GRATUITY")</f>
        <v xml:space="preserve">          6010 - GRATUITY</v>
      </c>
      <c r="C57" s="11"/>
      <c r="D57" s="6"/>
      <c r="E57" s="2"/>
      <c r="F57" s="7">
        <f t="shared" si="21"/>
        <v>0</v>
      </c>
      <c r="G57" s="2"/>
      <c r="H57" s="6">
        <v>0</v>
      </c>
      <c r="I57" s="2"/>
      <c r="J57" s="7">
        <f t="shared" si="22"/>
        <v>0</v>
      </c>
      <c r="K57" s="2"/>
      <c r="L57" s="6">
        <f t="shared" si="23"/>
        <v>0</v>
      </c>
      <c r="M57" s="2"/>
      <c r="N57" s="7">
        <f t="shared" si="24"/>
        <v>0</v>
      </c>
      <c r="O57" s="11"/>
      <c r="P57" s="6"/>
      <c r="Q57" s="2"/>
      <c r="R57" s="7">
        <f t="shared" si="25"/>
        <v>0</v>
      </c>
      <c r="S57" s="2"/>
      <c r="T57" s="6">
        <v>0</v>
      </c>
      <c r="U57" s="2"/>
      <c r="V57" s="7">
        <f t="shared" si="26"/>
        <v>0</v>
      </c>
      <c r="W57" s="2"/>
      <c r="X57" s="6">
        <f t="shared" si="27"/>
        <v>0</v>
      </c>
      <c r="Y57" s="2"/>
      <c r="Z57" s="7">
        <f t="shared" si="28"/>
        <v>0</v>
      </c>
    </row>
    <row r="58" spans="1:26" s="29" customFormat="1" outlineLevel="1" collapsed="1" x14ac:dyDescent="0.2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1.0867202782003912E-2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400</v>
      </c>
      <c r="U58" s="1"/>
      <c r="V58" s="5">
        <f t="shared" ref="V58:V66" si="34">IF(T$12=0,0,T58/T$12)</f>
        <v>9.1713669922501954E-3</v>
      </c>
      <c r="W58" s="1"/>
      <c r="X58" s="1">
        <f t="shared" ref="X58:X66" si="35">+P58-T58</f>
        <v>-275.27999999999997</v>
      </c>
      <c r="Y58" s="1"/>
      <c r="Z58" s="5">
        <f t="shared" ref="Z58:Z66" si="36">IF(T58=0,0,X58/T58)</f>
        <v>-0.68819999999999992</v>
      </c>
    </row>
    <row r="59" spans="1:26" s="24" customFormat="1" hidden="1" outlineLevel="2" x14ac:dyDescent="0.25">
      <c r="A59" s="28"/>
      <c r="B59" s="11" t="str">
        <f>CONCATENATE("          ", "6362", " - ", "ADVERTISING EXPENSE")</f>
        <v xml:space="preserve">          6362 - ADVERTISING EXPENSE</v>
      </c>
      <c r="C59" s="11"/>
      <c r="D59" s="6"/>
      <c r="E59" s="2"/>
      <c r="F59" s="7">
        <f t="shared" si="29"/>
        <v>0</v>
      </c>
      <c r="G59" s="2"/>
      <c r="H59" s="6">
        <v>100</v>
      </c>
      <c r="I59" s="2"/>
      <c r="J59" s="7">
        <f t="shared" si="30"/>
        <v>1.0867202782003912E-2</v>
      </c>
      <c r="K59" s="2"/>
      <c r="L59" s="6">
        <f t="shared" si="31"/>
        <v>-100</v>
      </c>
      <c r="M59" s="2"/>
      <c r="N59" s="7">
        <f t="shared" si="32"/>
        <v>-1</v>
      </c>
      <c r="O59" s="11"/>
      <c r="P59" s="6">
        <v>124.72</v>
      </c>
      <c r="Q59" s="2"/>
      <c r="R59" s="7">
        <f t="shared" si="33"/>
        <v>5.8521240695347957E-3</v>
      </c>
      <c r="S59" s="2"/>
      <c r="T59" s="6">
        <v>400</v>
      </c>
      <c r="U59" s="2"/>
      <c r="V59" s="7">
        <f t="shared" si="34"/>
        <v>9.1713669922501954E-3</v>
      </c>
      <c r="W59" s="2"/>
      <c r="X59" s="6">
        <f t="shared" si="35"/>
        <v>-275.27999999999997</v>
      </c>
      <c r="Y59" s="2"/>
      <c r="Z59" s="7">
        <f t="shared" si="36"/>
        <v>-0.68819999999999992</v>
      </c>
    </row>
    <row r="60" spans="1:26" s="29" customFormat="1" outlineLevel="1" collapsed="1" x14ac:dyDescent="0.2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8"/>
      <c r="B61" s="11" t="str">
        <f>CONCATENATE("          ", "6272", " - ", "CASH (OVER/SHORT)")</f>
        <v xml:space="preserve">          6272 - CASH (OVER/SHORT)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1.1000000000000001</v>
      </c>
      <c r="Q61" s="2"/>
      <c r="R61" s="7">
        <f t="shared" si="33"/>
        <v>5.1614307861516002E-5</v>
      </c>
      <c r="S61" s="2"/>
      <c r="T61" s="6"/>
      <c r="U61" s="2"/>
      <c r="V61" s="7">
        <f t="shared" si="34"/>
        <v>0</v>
      </c>
      <c r="W61" s="2"/>
      <c r="X61" s="6">
        <f t="shared" si="35"/>
        <v>1.1000000000000001</v>
      </c>
      <c r="Y61" s="2"/>
      <c r="Z61" s="7">
        <f t="shared" si="36"/>
        <v>0</v>
      </c>
    </row>
    <row r="62" spans="1:26" s="29" customFormat="1" outlineLevel="1" collapsed="1" x14ac:dyDescent="0.2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634</v>
      </c>
      <c r="I62" s="1"/>
      <c r="J62" s="5">
        <f t="shared" si="30"/>
        <v>6.8898065637904807E-2</v>
      </c>
      <c r="K62" s="1"/>
      <c r="L62" s="1">
        <f t="shared" si="31"/>
        <v>-634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2797</v>
      </c>
      <c r="U62" s="1"/>
      <c r="V62" s="5">
        <f t="shared" si="34"/>
        <v>6.413078369330949E-2</v>
      </c>
      <c r="W62" s="1"/>
      <c r="X62" s="1">
        <f t="shared" si="35"/>
        <v>-2797</v>
      </c>
      <c r="Y62" s="1"/>
      <c r="Z62" s="5">
        <f t="shared" si="36"/>
        <v>-1</v>
      </c>
    </row>
    <row r="63" spans="1:26" s="24" customFormat="1" hidden="1" outlineLevel="2" x14ac:dyDescent="0.25">
      <c r="A63" s="28"/>
      <c r="B63" s="11" t="str">
        <f>CONCATENATE("          ", "6381", " - ", "BANK/CREDIT CARD FEES")</f>
        <v xml:space="preserve">          6381 - BANK/CREDIT CARD FEES</v>
      </c>
      <c r="C63" s="11"/>
      <c r="D63" s="6"/>
      <c r="E63" s="2"/>
      <c r="F63" s="7">
        <f t="shared" si="29"/>
        <v>0</v>
      </c>
      <c r="G63" s="2"/>
      <c r="H63" s="6">
        <v>634</v>
      </c>
      <c r="I63" s="2"/>
      <c r="J63" s="7">
        <f t="shared" si="30"/>
        <v>6.8898065637904807E-2</v>
      </c>
      <c r="K63" s="2"/>
      <c r="L63" s="6">
        <f t="shared" si="31"/>
        <v>-634</v>
      </c>
      <c r="M63" s="2"/>
      <c r="N63" s="7">
        <f t="shared" si="32"/>
        <v>-1</v>
      </c>
      <c r="O63" s="11"/>
      <c r="P63" s="6"/>
      <c r="Q63" s="2"/>
      <c r="R63" s="7">
        <f t="shared" si="33"/>
        <v>0</v>
      </c>
      <c r="S63" s="2"/>
      <c r="T63" s="6">
        <v>2797</v>
      </c>
      <c r="U63" s="2"/>
      <c r="V63" s="7">
        <f t="shared" si="34"/>
        <v>6.413078369330949E-2</v>
      </c>
      <c r="W63" s="2"/>
      <c r="X63" s="6">
        <f t="shared" si="35"/>
        <v>-2797</v>
      </c>
      <c r="Y63" s="2"/>
      <c r="Z63" s="7">
        <f t="shared" si="36"/>
        <v>-1</v>
      </c>
    </row>
    <row r="64" spans="1:26" s="29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418.85</v>
      </c>
      <c r="E64" s="1"/>
      <c r="F64" s="5">
        <f t="shared" si="29"/>
        <v>0</v>
      </c>
      <c r="G64" s="1"/>
      <c r="H64" s="1">
        <f>SUM(OSRRefH22_5x_0)</f>
        <v>202</v>
      </c>
      <c r="I64" s="1"/>
      <c r="J64" s="5">
        <f t="shared" si="30"/>
        <v>2.1951749619647902E-2</v>
      </c>
      <c r="K64" s="1"/>
      <c r="L64" s="1">
        <f t="shared" si="31"/>
        <v>216.85000000000002</v>
      </c>
      <c r="M64" s="1"/>
      <c r="N64" s="5">
        <f t="shared" si="32"/>
        <v>1.0735148514851487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942</v>
      </c>
      <c r="U64" s="1"/>
      <c r="V64" s="5">
        <f t="shared" si="34"/>
        <v>2.1598569266749208E-2</v>
      </c>
      <c r="W64" s="1"/>
      <c r="X64" s="1">
        <f t="shared" si="35"/>
        <v>-942</v>
      </c>
      <c r="Y64" s="1"/>
      <c r="Z64" s="5">
        <f t="shared" si="36"/>
        <v>-1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6"/>
      <c r="E65" s="2"/>
      <c r="F65" s="7">
        <f t="shared" si="29"/>
        <v>0</v>
      </c>
      <c r="G65" s="2"/>
      <c r="H65" s="6">
        <v>202</v>
      </c>
      <c r="I65" s="2"/>
      <c r="J65" s="7">
        <f t="shared" si="30"/>
        <v>2.1951749619647902E-2</v>
      </c>
      <c r="K65" s="2"/>
      <c r="L65" s="6">
        <f t="shared" si="31"/>
        <v>-202</v>
      </c>
      <c r="M65" s="2"/>
      <c r="N65" s="7">
        <f t="shared" si="32"/>
        <v>-1</v>
      </c>
      <c r="O65" s="11"/>
      <c r="P65" s="6"/>
      <c r="Q65" s="2"/>
      <c r="R65" s="7">
        <f t="shared" si="33"/>
        <v>0</v>
      </c>
      <c r="S65" s="2"/>
      <c r="T65" s="6">
        <v>942</v>
      </c>
      <c r="U65" s="2"/>
      <c r="V65" s="7">
        <f t="shared" si="34"/>
        <v>2.1598569266749208E-2</v>
      </c>
      <c r="W65" s="2"/>
      <c r="X65" s="6">
        <f t="shared" si="35"/>
        <v>-942</v>
      </c>
      <c r="Y65" s="2"/>
      <c r="Z65" s="7">
        <f t="shared" si="36"/>
        <v>-1</v>
      </c>
    </row>
    <row r="66" spans="1:26" s="24" customFormat="1" hidden="1" outlineLevel="2" x14ac:dyDescent="0.25">
      <c r="A66" s="28"/>
      <c r="B66" s="11" t="str">
        <f>CONCATENATE("          ", "9175", " - ", "EARNED DISCOUNTS")</f>
        <v xml:space="preserve">          9175 - EARNED DISCOUNTS</v>
      </c>
      <c r="C66" s="11"/>
      <c r="D66" s="6">
        <v>418.85</v>
      </c>
      <c r="E66" s="2"/>
      <c r="F66" s="7">
        <f t="shared" si="29"/>
        <v>0</v>
      </c>
      <c r="G66" s="2"/>
      <c r="H66" s="6"/>
      <c r="I66" s="2"/>
      <c r="J66" s="7">
        <f t="shared" si="30"/>
        <v>0</v>
      </c>
      <c r="K66" s="2"/>
      <c r="L66" s="6">
        <f t="shared" si="31"/>
        <v>418.85</v>
      </c>
      <c r="M66" s="2"/>
      <c r="N66" s="7">
        <f t="shared" si="32"/>
        <v>0</v>
      </c>
      <c r="O66" s="11"/>
      <c r="P66" s="6">
        <v>0</v>
      </c>
      <c r="Q66" s="2"/>
      <c r="R66" s="7">
        <f t="shared" si="33"/>
        <v>0</v>
      </c>
      <c r="S66" s="2"/>
      <c r="T66" s="6"/>
      <c r="U66" s="2"/>
      <c r="V66" s="7">
        <f t="shared" si="34"/>
        <v>0</v>
      </c>
      <c r="W66" s="2"/>
      <c r="X66" s="6">
        <f t="shared" si="35"/>
        <v>0</v>
      </c>
      <c r="Y66" s="2"/>
      <c r="Z66" s="7">
        <f t="shared" si="36"/>
        <v>0</v>
      </c>
    </row>
    <row r="67" spans="1:26" s="29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101</v>
      </c>
      <c r="I67" s="1"/>
      <c r="J67" s="5">
        <f t="shared" ref="J67:J75" si="38">IF(H$12=0,0,H67/H$12)</f>
        <v>1.0975874809823951E-2</v>
      </c>
      <c r="K67" s="1"/>
      <c r="L67" s="1">
        <f t="shared" ref="L67:L75" si="39">+D67-H67</f>
        <v>-101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887</v>
      </c>
      <c r="U67" s="1"/>
      <c r="V67" s="5">
        <f t="shared" ref="V67:V75" si="42">IF(T$12=0,0,T67/T$12)</f>
        <v>2.0337506305314806E-2</v>
      </c>
      <c r="W67" s="1"/>
      <c r="X67" s="1">
        <f t="shared" ref="X67:X75" si="43">+P67-T67</f>
        <v>-887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8"/>
      <c r="B68" s="11" t="str">
        <f>CONCATENATE("          ", "6305", " - ", "FREIGHT OUT")</f>
        <v xml:space="preserve">          6305 - FREIGHT OUT</v>
      </c>
      <c r="C68" s="11"/>
      <c r="D68" s="6"/>
      <c r="E68" s="2"/>
      <c r="F68" s="7">
        <f t="shared" si="37"/>
        <v>0</v>
      </c>
      <c r="G68" s="2"/>
      <c r="H68" s="6">
        <v>101</v>
      </c>
      <c r="I68" s="2"/>
      <c r="J68" s="7">
        <f t="shared" si="38"/>
        <v>1.0975874809823951E-2</v>
      </c>
      <c r="K68" s="2"/>
      <c r="L68" s="6">
        <f t="shared" si="39"/>
        <v>-101</v>
      </c>
      <c r="M68" s="2"/>
      <c r="N68" s="7">
        <f t="shared" si="40"/>
        <v>-1</v>
      </c>
      <c r="O68" s="11"/>
      <c r="P68" s="6"/>
      <c r="Q68" s="2"/>
      <c r="R68" s="7">
        <f t="shared" si="41"/>
        <v>0</v>
      </c>
      <c r="S68" s="2"/>
      <c r="T68" s="6">
        <v>887</v>
      </c>
      <c r="U68" s="2"/>
      <c r="V68" s="7">
        <f t="shared" si="42"/>
        <v>2.0337506305314806E-2</v>
      </c>
      <c r="W68" s="2"/>
      <c r="X68" s="6">
        <f t="shared" si="43"/>
        <v>-887</v>
      </c>
      <c r="Y68" s="2"/>
      <c r="Z68" s="7">
        <f t="shared" si="44"/>
        <v>-1</v>
      </c>
    </row>
    <row r="69" spans="1:26" s="29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719.55</v>
      </c>
      <c r="Q69" s="1"/>
      <c r="R69" s="5">
        <f t="shared" si="41"/>
        <v>3.3762795656139849E-2</v>
      </c>
      <c r="S69" s="1"/>
      <c r="T69" s="1">
        <f>SUM(OSRRefT22_7x_0)</f>
        <v>1000</v>
      </c>
      <c r="U69" s="1"/>
      <c r="V69" s="5">
        <f t="shared" si="42"/>
        <v>2.2928417480625487E-2</v>
      </c>
      <c r="W69" s="1"/>
      <c r="X69" s="1">
        <f t="shared" si="43"/>
        <v>-280.45000000000005</v>
      </c>
      <c r="Y69" s="1"/>
      <c r="Z69" s="5">
        <f t="shared" si="44"/>
        <v>-0.28045000000000003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719.55</v>
      </c>
      <c r="Q70" s="2"/>
      <c r="R70" s="7">
        <f t="shared" si="41"/>
        <v>3.3762795656139849E-2</v>
      </c>
      <c r="S70" s="2"/>
      <c r="T70" s="6">
        <v>1000</v>
      </c>
      <c r="U70" s="2"/>
      <c r="V70" s="7">
        <f t="shared" si="42"/>
        <v>2.2928417480625487E-2</v>
      </c>
      <c r="W70" s="2"/>
      <c r="X70" s="6">
        <f t="shared" si="43"/>
        <v>-280.45000000000005</v>
      </c>
      <c r="Y70" s="2"/>
      <c r="Z70" s="7">
        <f t="shared" si="44"/>
        <v>-0.28045000000000003</v>
      </c>
    </row>
    <row r="71" spans="1:26" s="29" customFormat="1" outlineLevel="1" collapsed="1" x14ac:dyDescent="0.2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1.8342733984500391E-2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8"/>
      <c r="B72" s="11" t="str">
        <f>CONCATENATE("          ", "6336", " - ", "PROFESSIONAL SERVICES")</f>
        <v xml:space="preserve">          6336 - PROFESSIONAL SERVICES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/>
      <c r="Q72" s="2"/>
      <c r="R72" s="7">
        <f t="shared" si="41"/>
        <v>0</v>
      </c>
      <c r="S72" s="2"/>
      <c r="T72" s="6">
        <v>800</v>
      </c>
      <c r="U72" s="2"/>
      <c r="V72" s="7">
        <f t="shared" si="42"/>
        <v>1.8342733984500391E-2</v>
      </c>
      <c r="W72" s="2"/>
      <c r="X72" s="6">
        <f t="shared" si="43"/>
        <v>-800</v>
      </c>
      <c r="Y72" s="2"/>
      <c r="Z72" s="7">
        <f t="shared" si="44"/>
        <v>-1</v>
      </c>
    </row>
    <row r="73" spans="1:26" s="29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1.0867202782003912E-2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139.71</v>
      </c>
      <c r="Q73" s="1"/>
      <c r="R73" s="5">
        <f t="shared" si="41"/>
        <v>6.555486319393092E-3</v>
      </c>
      <c r="S73" s="1"/>
      <c r="T73" s="1">
        <f>SUM(OSRRefT22_9x_0)</f>
        <v>500</v>
      </c>
      <c r="U73" s="1"/>
      <c r="V73" s="5">
        <f t="shared" si="42"/>
        <v>1.1464208740312743E-2</v>
      </c>
      <c r="W73" s="1"/>
      <c r="X73" s="1">
        <f t="shared" si="43"/>
        <v>-360.28999999999996</v>
      </c>
      <c r="Y73" s="1"/>
      <c r="Z73" s="5">
        <f t="shared" si="44"/>
        <v>-0.72057999999999989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139.71</v>
      </c>
      <c r="Q74" s="2"/>
      <c r="R74" s="7">
        <f t="shared" si="41"/>
        <v>6.555486319393092E-3</v>
      </c>
      <c r="S74" s="2"/>
      <c r="T74" s="6"/>
      <c r="U74" s="2"/>
      <c r="V74" s="7">
        <f t="shared" si="42"/>
        <v>0</v>
      </c>
      <c r="W74" s="2"/>
      <c r="X74" s="6">
        <f t="shared" si="43"/>
        <v>139.71</v>
      </c>
      <c r="Y74" s="2"/>
      <c r="Z74" s="7">
        <f t="shared" si="44"/>
        <v>0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37"/>
        <v>0</v>
      </c>
      <c r="G75" s="2"/>
      <c r="H75" s="6">
        <v>100</v>
      </c>
      <c r="I75" s="2"/>
      <c r="J75" s="7">
        <f t="shared" si="38"/>
        <v>1.0867202782003912E-2</v>
      </c>
      <c r="K75" s="2"/>
      <c r="L75" s="6">
        <f t="shared" si="39"/>
        <v>-100</v>
      </c>
      <c r="M75" s="2"/>
      <c r="N75" s="7">
        <f t="shared" si="40"/>
        <v>-1</v>
      </c>
      <c r="O75" s="11"/>
      <c r="P75" s="6"/>
      <c r="Q75" s="2"/>
      <c r="R75" s="7">
        <f t="shared" si="41"/>
        <v>0</v>
      </c>
      <c r="S75" s="2"/>
      <c r="T75" s="6">
        <v>500</v>
      </c>
      <c r="U75" s="2"/>
      <c r="V75" s="7">
        <f t="shared" si="42"/>
        <v>1.1464208740312743E-2</v>
      </c>
      <c r="W75" s="2"/>
      <c r="X75" s="6">
        <f t="shared" si="43"/>
        <v>-500</v>
      </c>
      <c r="Y75" s="2"/>
      <c r="Z75" s="7">
        <f t="shared" si="44"/>
        <v>-1</v>
      </c>
    </row>
    <row r="76" spans="1:26" s="29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44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2.9776135622690721E-2</v>
      </c>
      <c r="K76" s="1"/>
      <c r="L76" s="1">
        <f t="shared" ref="L76:L78" si="47">+D76-H76</f>
        <v>-230</v>
      </c>
      <c r="M76" s="1"/>
      <c r="N76" s="5">
        <f t="shared" ref="N76:N78" si="48">IF(H76=0,0,L76/H76)</f>
        <v>-0.83941605839416056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1096</v>
      </c>
      <c r="U76" s="1"/>
      <c r="V76" s="5">
        <f t="shared" ref="V76:V78" si="50">IF(T$12=0,0,T76/T$12)</f>
        <v>2.5129545558765534E-2</v>
      </c>
      <c r="W76" s="1"/>
      <c r="X76" s="1">
        <f t="shared" ref="X76:X78" si="51">+P76-T76</f>
        <v>-1077.5</v>
      </c>
      <c r="Y76" s="1"/>
      <c r="Z76" s="5">
        <f t="shared" ref="Z76:Z78" si="52">IF(T76=0,0,X76/T76)</f>
        <v>-0.98312043795620441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44</v>
      </c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44</v>
      </c>
      <c r="M77" s="2"/>
      <c r="N77" s="7">
        <f t="shared" si="48"/>
        <v>0</v>
      </c>
      <c r="O77" s="11"/>
      <c r="P77" s="6">
        <v>176</v>
      </c>
      <c r="Q77" s="2"/>
      <c r="R77" s="7">
        <f t="shared" si="49"/>
        <v>8.2582892578425601E-3</v>
      </c>
      <c r="S77" s="2"/>
      <c r="T77" s="6"/>
      <c r="U77" s="2"/>
      <c r="V77" s="7">
        <f t="shared" si="50"/>
        <v>0</v>
      </c>
      <c r="W77" s="2"/>
      <c r="X77" s="6">
        <f t="shared" si="51"/>
        <v>176</v>
      </c>
      <c r="Y77" s="2"/>
      <c r="Z77" s="7">
        <f t="shared" si="52"/>
        <v>0</v>
      </c>
    </row>
    <row r="78" spans="1:26" s="24" customFormat="1" hidden="1" outlineLevel="2" x14ac:dyDescent="0.25">
      <c r="A78" s="28"/>
      <c r="B78" s="11" t="str">
        <f>CONCATENATE("          ", "6285", " - ", "JANITORIAL SERVICES")</f>
        <v xml:space="preserve">          6285 - JANITORIAL SERVICES</v>
      </c>
      <c r="C78" s="11"/>
      <c r="D78" s="6"/>
      <c r="E78" s="2"/>
      <c r="F78" s="7">
        <f t="shared" si="45"/>
        <v>0</v>
      </c>
      <c r="G78" s="2"/>
      <c r="H78" s="6">
        <v>274</v>
      </c>
      <c r="I78" s="2"/>
      <c r="J78" s="7">
        <f t="shared" si="46"/>
        <v>2.9776135622690721E-2</v>
      </c>
      <c r="K78" s="2"/>
      <c r="L78" s="6">
        <f t="shared" si="47"/>
        <v>-274</v>
      </c>
      <c r="M78" s="2"/>
      <c r="N78" s="7">
        <f t="shared" si="48"/>
        <v>-1</v>
      </c>
      <c r="O78" s="11"/>
      <c r="P78" s="6">
        <v>-157.5</v>
      </c>
      <c r="Q78" s="2"/>
      <c r="R78" s="7">
        <f t="shared" si="49"/>
        <v>-7.3902304438079732E-3</v>
      </c>
      <c r="S78" s="2"/>
      <c r="T78" s="6">
        <v>1096</v>
      </c>
      <c r="U78" s="2"/>
      <c r="V78" s="7">
        <f t="shared" si="50"/>
        <v>2.5129545558765534E-2</v>
      </c>
      <c r="W78" s="2"/>
      <c r="X78" s="6">
        <f t="shared" si="51"/>
        <v>-1253.5</v>
      </c>
      <c r="Y78" s="2"/>
      <c r="Z78" s="7">
        <f t="shared" si="52"/>
        <v>-1.1437043795620438</v>
      </c>
    </row>
    <row r="79" spans="1:26" s="29" customFormat="1" outlineLevel="1" collapsed="1" x14ac:dyDescent="0.2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3.2601608346011737E-2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1300</v>
      </c>
      <c r="U79" s="1"/>
      <c r="V79" s="5">
        <f t="shared" ref="V79:V83" si="58">IF(T$12=0,0,T79/T$12)</f>
        <v>2.9806942724813133E-2</v>
      </c>
      <c r="W79" s="1"/>
      <c r="X79" s="1">
        <f t="shared" ref="X79:X83" si="59">+P79-T79</f>
        <v>592.27</v>
      </c>
      <c r="Y79" s="1"/>
      <c r="Z79" s="5">
        <f t="shared" ref="Z79:Z83" si="60">IF(T79=0,0,X79/T79)</f>
        <v>0.45559230769230769</v>
      </c>
    </row>
    <row r="80" spans="1:26" s="24" customFormat="1" hidden="1" outlineLevel="2" x14ac:dyDescent="0.25">
      <c r="A80" s="28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53"/>
        <v>0</v>
      </c>
      <c r="G80" s="2"/>
      <c r="H80" s="6">
        <v>200</v>
      </c>
      <c r="I80" s="2"/>
      <c r="J80" s="7">
        <f t="shared" si="54"/>
        <v>2.1734405564007825E-2</v>
      </c>
      <c r="K80" s="2"/>
      <c r="L80" s="6">
        <f t="shared" si="55"/>
        <v>-200</v>
      </c>
      <c r="M80" s="2"/>
      <c r="N80" s="7">
        <f t="shared" si="56"/>
        <v>-1</v>
      </c>
      <c r="O80" s="11"/>
      <c r="P80" s="6">
        <v>444.3</v>
      </c>
      <c r="Q80" s="2"/>
      <c r="R80" s="7">
        <f t="shared" si="57"/>
        <v>2.0847488166246871E-2</v>
      </c>
      <c r="S80" s="2"/>
      <c r="T80" s="6">
        <v>800</v>
      </c>
      <c r="U80" s="2"/>
      <c r="V80" s="7">
        <f t="shared" si="58"/>
        <v>1.8342733984500391E-2</v>
      </c>
      <c r="W80" s="2"/>
      <c r="X80" s="6">
        <f t="shared" si="59"/>
        <v>-355.7</v>
      </c>
      <c r="Y80" s="2"/>
      <c r="Z80" s="7">
        <f t="shared" si="60"/>
        <v>-0.44462499999999999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225.24</v>
      </c>
      <c r="Q81" s="2"/>
      <c r="R81" s="7">
        <f t="shared" si="57"/>
        <v>1.056873336611624E-2</v>
      </c>
      <c r="S81" s="2"/>
      <c r="T81" s="6"/>
      <c r="U81" s="2"/>
      <c r="V81" s="7">
        <f t="shared" si="58"/>
        <v>0</v>
      </c>
      <c r="W81" s="2"/>
      <c r="X81" s="6">
        <f t="shared" si="59"/>
        <v>225.24</v>
      </c>
      <c r="Y81" s="2"/>
      <c r="Z81" s="7">
        <f t="shared" si="60"/>
        <v>0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53"/>
        <v>0</v>
      </c>
      <c r="G82" s="2"/>
      <c r="H82" s="6">
        <v>100</v>
      </c>
      <c r="I82" s="2"/>
      <c r="J82" s="7">
        <f t="shared" si="54"/>
        <v>1.0867202782003912E-2</v>
      </c>
      <c r="K82" s="2"/>
      <c r="L82" s="6">
        <f t="shared" si="55"/>
        <v>-100</v>
      </c>
      <c r="M82" s="2"/>
      <c r="N82" s="7">
        <f t="shared" si="56"/>
        <v>-1</v>
      </c>
      <c r="O82" s="11"/>
      <c r="P82" s="6">
        <v>1222.73</v>
      </c>
      <c r="Q82" s="2"/>
      <c r="R82" s="7">
        <f t="shared" si="57"/>
        <v>5.7373056955919509E-2</v>
      </c>
      <c r="S82" s="2"/>
      <c r="T82" s="6">
        <v>400</v>
      </c>
      <c r="U82" s="2"/>
      <c r="V82" s="7">
        <f t="shared" si="58"/>
        <v>9.1713669922501954E-3</v>
      </c>
      <c r="W82" s="2"/>
      <c r="X82" s="6">
        <f t="shared" si="59"/>
        <v>822.73</v>
      </c>
      <c r="Y82" s="2"/>
      <c r="Z82" s="7">
        <f t="shared" si="60"/>
        <v>2.0568249999999999</v>
      </c>
    </row>
    <row r="83" spans="1:26" s="24" customFormat="1" hidden="1" outlineLevel="2" x14ac:dyDescent="0.25">
      <c r="A83" s="28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/>
      <c r="Q83" s="2"/>
      <c r="R83" s="7">
        <f t="shared" si="57"/>
        <v>0</v>
      </c>
      <c r="S83" s="2"/>
      <c r="T83" s="6">
        <v>100</v>
      </c>
      <c r="U83" s="2"/>
      <c r="V83" s="7">
        <f t="shared" si="58"/>
        <v>2.2928417480625489E-3</v>
      </c>
      <c r="W83" s="2"/>
      <c r="X83" s="6">
        <f t="shared" si="59"/>
        <v>-100</v>
      </c>
      <c r="Y83" s="2"/>
      <c r="Z83" s="7">
        <f t="shared" si="60"/>
        <v>-1</v>
      </c>
    </row>
    <row r="84" spans="1:26" s="29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53.15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1.0867202782003912E-2</v>
      </c>
      <c r="K84" s="1"/>
      <c r="L84" s="1">
        <f t="shared" ref="L84:L86" si="63">+D84-H84</f>
        <v>-46.85</v>
      </c>
      <c r="M84" s="1"/>
      <c r="N84" s="5">
        <f t="shared" ref="N84:N86" si="64">IF(H84=0,0,L84/H84)</f>
        <v>-0.46850000000000003</v>
      </c>
      <c r="O84" s="14"/>
      <c r="P84" s="1">
        <f>SUM(OSRRefP22_12x_0)</f>
        <v>313.05</v>
      </c>
      <c r="Q84" s="1"/>
      <c r="R84" s="5">
        <f t="shared" ref="R84:R86" si="65">IF(P$12=0,0,P84/P$12)</f>
        <v>1.4688962796406895E-2</v>
      </c>
      <c r="S84" s="1"/>
      <c r="T84" s="1">
        <f>SUM(OSRRefT22_12x_0)</f>
        <v>500</v>
      </c>
      <c r="U84" s="1"/>
      <c r="V84" s="5">
        <f t="shared" ref="V84:V86" si="66">IF(T$12=0,0,T84/T$12)</f>
        <v>1.1464208740312743E-2</v>
      </c>
      <c r="W84" s="1"/>
      <c r="X84" s="1">
        <f t="shared" ref="X84:X86" si="67">+P84-T84</f>
        <v>-186.95</v>
      </c>
      <c r="Y84" s="1"/>
      <c r="Z84" s="5">
        <f t="shared" ref="Z84:Z86" si="68">IF(T84=0,0,X84/T84)</f>
        <v>-0.37389999999999995</v>
      </c>
    </row>
    <row r="85" spans="1:26" s="24" customFormat="1" hidden="1" outlineLevel="2" x14ac:dyDescent="0.25">
      <c r="A85" s="28"/>
      <c r="B85" s="11" t="str">
        <f>CONCATENATE("          ", "6303", " - ", "DATA PHONE LINES")</f>
        <v xml:space="preserve">          6303 - DATA PHONE LINES</v>
      </c>
      <c r="C85" s="11"/>
      <c r="D85" s="6"/>
      <c r="E85" s="2"/>
      <c r="F85" s="7">
        <f t="shared" si="61"/>
        <v>0</v>
      </c>
      <c r="G85" s="2"/>
      <c r="H85" s="6">
        <v>100</v>
      </c>
      <c r="I85" s="2"/>
      <c r="J85" s="7">
        <f t="shared" si="62"/>
        <v>1.0867202782003912E-2</v>
      </c>
      <c r="K85" s="2"/>
      <c r="L85" s="6">
        <f t="shared" si="63"/>
        <v>-100</v>
      </c>
      <c r="M85" s="2"/>
      <c r="N85" s="7">
        <f t="shared" si="64"/>
        <v>-1</v>
      </c>
      <c r="O85" s="11"/>
      <c r="P85" s="6"/>
      <c r="Q85" s="2"/>
      <c r="R85" s="7">
        <f t="shared" si="65"/>
        <v>0</v>
      </c>
      <c r="S85" s="2"/>
      <c r="T85" s="6">
        <v>500</v>
      </c>
      <c r="U85" s="2"/>
      <c r="V85" s="7">
        <f t="shared" si="66"/>
        <v>1.1464208740312743E-2</v>
      </c>
      <c r="W85" s="2"/>
      <c r="X85" s="6">
        <f t="shared" si="67"/>
        <v>-500</v>
      </c>
      <c r="Y85" s="2"/>
      <c r="Z85" s="7">
        <f t="shared" si="68"/>
        <v>-1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6">
        <v>53.15</v>
      </c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53.15</v>
      </c>
      <c r="M86" s="2"/>
      <c r="N86" s="7">
        <f t="shared" si="64"/>
        <v>0</v>
      </c>
      <c r="O86" s="11"/>
      <c r="P86" s="6">
        <v>313.05</v>
      </c>
      <c r="Q86" s="2"/>
      <c r="R86" s="7">
        <f t="shared" si="65"/>
        <v>1.4688962796406895E-2</v>
      </c>
      <c r="S86" s="2"/>
      <c r="T86" s="6"/>
      <c r="U86" s="2"/>
      <c r="V86" s="7">
        <f t="shared" si="66"/>
        <v>0</v>
      </c>
      <c r="W86" s="2"/>
      <c r="X86" s="6">
        <f t="shared" si="67"/>
        <v>313.05</v>
      </c>
      <c r="Y86" s="2"/>
      <c r="Z86" s="7">
        <f t="shared" si="68"/>
        <v>0</v>
      </c>
    </row>
    <row r="87" spans="1:26" s="29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4">IF(T$12=0,0,T87/T$12)</f>
        <v>1.3757050488375291E-3</v>
      </c>
      <c r="W87" s="1"/>
      <c r="X87" s="1">
        <f t="shared" ref="X87:X88" si="75">+P87-T87</f>
        <v>-46</v>
      </c>
      <c r="Y87" s="1"/>
      <c r="Z87" s="5">
        <f t="shared" ref="Z87:Z88" si="76">IF(T87=0,0,X87/T87)</f>
        <v>-0.76666666666666672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9"/>
        <v>0</v>
      </c>
      <c r="G88" s="2"/>
      <c r="H88" s="6"/>
      <c r="I88" s="2"/>
      <c r="J88" s="7">
        <f t="shared" si="70"/>
        <v>0</v>
      </c>
      <c r="K88" s="2"/>
      <c r="L88" s="6">
        <f t="shared" si="71"/>
        <v>0</v>
      </c>
      <c r="M88" s="2"/>
      <c r="N88" s="7">
        <f t="shared" si="72"/>
        <v>0</v>
      </c>
      <c r="O88" s="11"/>
      <c r="P88" s="6">
        <v>14</v>
      </c>
      <c r="Q88" s="2"/>
      <c r="R88" s="7">
        <f t="shared" si="73"/>
        <v>6.5690937278293094E-4</v>
      </c>
      <c r="S88" s="2"/>
      <c r="T88" s="6">
        <v>60</v>
      </c>
      <c r="U88" s="2"/>
      <c r="V88" s="7">
        <f t="shared" si="74"/>
        <v>1.3757050488375291E-3</v>
      </c>
      <c r="W88" s="2"/>
      <c r="X88" s="6">
        <f t="shared" si="75"/>
        <v>-46</v>
      </c>
      <c r="Y88" s="2"/>
      <c r="Z88" s="7">
        <f t="shared" si="76"/>
        <v>-0.76666666666666672</v>
      </c>
    </row>
    <row r="89" spans="1:26" s="62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21">
        <f>+D35-D37+D90</f>
        <v>-553.19000000000005</v>
      </c>
      <c r="E92" s="13"/>
      <c r="F92" s="20">
        <f>IF(D$12=0,0,D92/D$12)</f>
        <v>0</v>
      </c>
      <c r="G92" s="13"/>
      <c r="H92" s="21">
        <f>+H35-H37+H90</f>
        <v>-5018.5904159999991</v>
      </c>
      <c r="I92" s="13"/>
      <c r="J92" s="20">
        <f>IF(H$12=0,0,H92/H$12)</f>
        <v>-0.5453803973049336</v>
      </c>
      <c r="K92" s="16"/>
      <c r="L92" s="21">
        <f>+D92-H92</f>
        <v>4465.4004159999986</v>
      </c>
      <c r="M92" s="16"/>
      <c r="N92" s="20">
        <f>IF(H92=0,0,L92/H92)</f>
        <v>-0.88977183747923516</v>
      </c>
      <c r="O92" s="26"/>
      <c r="P92" s="21">
        <f>+P35-P37+P90</f>
        <v>-5042.3799999999901</v>
      </c>
      <c r="Q92" s="13"/>
      <c r="R92" s="20">
        <f>IF(P$12=0,0,P92/P$12)</f>
        <v>-0.23659904879522778</v>
      </c>
      <c r="S92" s="13"/>
      <c r="T92" s="21">
        <f>+T35-T37+T90</f>
        <v>-29670.820426999999</v>
      </c>
      <c r="U92" s="13"/>
      <c r="V92" s="20">
        <f>IF(T$12=0,0,T92/T$12)</f>
        <v>-0.68030495774292654</v>
      </c>
      <c r="W92" s="16"/>
      <c r="X92" s="21">
        <f>+P92-T92</f>
        <v>24628.440427000009</v>
      </c>
      <c r="Y92" s="16"/>
      <c r="Z92" s="20">
        <f>IF(T92=0,0,X92/T92)</f>
        <v>-0.83005592944738726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-1230.1600000000001</v>
      </c>
      <c r="E94" s="4"/>
      <c r="F94" s="12">
        <f>IF(D$12=0,0,D94/D$12)</f>
        <v>0</v>
      </c>
      <c r="G94" s="4"/>
      <c r="H94" s="4">
        <v>1413</v>
      </c>
      <c r="I94" s="4"/>
      <c r="J94" s="12">
        <f>IF(H$12=0,0,H94/H$12)</f>
        <v>0.15355357530971528</v>
      </c>
      <c r="K94" s="4"/>
      <c r="L94" s="4">
        <f>+D94-H94</f>
        <v>-2643.16</v>
      </c>
      <c r="M94" s="4"/>
      <c r="N94" s="12">
        <f>IF(H94=0,0,L94/H94)</f>
        <v>-1.8706015569709835</v>
      </c>
      <c r="O94" s="10"/>
      <c r="P94" s="4">
        <v>3386.46</v>
      </c>
      <c r="Q94" s="4"/>
      <c r="R94" s="12">
        <f>IF(P$12=0,0,P94/P$12)</f>
        <v>0.15889980818246316</v>
      </c>
      <c r="S94" s="4"/>
      <c r="T94" s="4">
        <v>8553</v>
      </c>
      <c r="U94" s="4"/>
      <c r="V94" s="12">
        <f>IF(T$12=0,0,T94/T$12)</f>
        <v>0.19610675471178979</v>
      </c>
      <c r="W94" s="4"/>
      <c r="X94" s="4">
        <f>+P94-T94</f>
        <v>-5166.54</v>
      </c>
      <c r="Y94" s="4"/>
      <c r="Z94" s="12">
        <f>IF(T94=0,0,X94/T94)</f>
        <v>-0.60406173272535957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1">
        <f>+D92-D94</f>
        <v>676.97</v>
      </c>
      <c r="E96" s="13"/>
      <c r="F96" s="34">
        <f>IF(D$12=0,0,D96/D$12)</f>
        <v>0</v>
      </c>
      <c r="G96" s="13"/>
      <c r="H96" s="31">
        <f>+H92-H94</f>
        <v>-6431.5904159999991</v>
      </c>
      <c r="I96" s="13"/>
      <c r="J96" s="34">
        <f>IF(H$12=0,0,H96/H$12)</f>
        <v>-0.69893397261464885</v>
      </c>
      <c r="K96" s="16"/>
      <c r="L96" s="31">
        <f>D96-H96</f>
        <v>7108.5604159999993</v>
      </c>
      <c r="M96" s="16"/>
      <c r="N96" s="34">
        <f>IF(H96=0,0,L96/H96)</f>
        <v>-1.1052570136176409</v>
      </c>
      <c r="O96" s="26"/>
      <c r="P96" s="31">
        <f>+P92-P94</f>
        <v>-8428.8399999999892</v>
      </c>
      <c r="Q96" s="13"/>
      <c r="R96" s="34">
        <f>IF(P$12=0,0,P96/P$12)</f>
        <v>-0.39549885697769088</v>
      </c>
      <c r="S96" s="13"/>
      <c r="T96" s="31">
        <f>+T92-T94</f>
        <v>-38223.820426999999</v>
      </c>
      <c r="U96" s="13"/>
      <c r="V96" s="34">
        <f>IF(T$12=0,0,T96/T$12)</f>
        <v>-0.87641171245471639</v>
      </c>
      <c r="W96" s="16"/>
      <c r="X96" s="31">
        <f>P96-T96</f>
        <v>29794.98042700001</v>
      </c>
      <c r="Y96" s="16"/>
      <c r="Z96" s="34">
        <f>IF(T96=0,0,X96/T96)</f>
        <v>-0.77948724366531019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3">
        <f>SUM(D96:D98)</f>
        <v>676.97</v>
      </c>
      <c r="E99" s="13"/>
      <c r="F99" s="30">
        <f>IF(D$12=0,0,D99/D$12)</f>
        <v>0</v>
      </c>
      <c r="G99" s="13"/>
      <c r="H99" s="33">
        <f>SUM(H96:H98)</f>
        <v>-6431.5904159999991</v>
      </c>
      <c r="I99" s="13"/>
      <c r="J99" s="30">
        <f>IF(H$12=0,0,H99/H$12)</f>
        <v>-0.69893397261464885</v>
      </c>
      <c r="K99" s="16"/>
      <c r="L99" s="33">
        <f>+D99-H99</f>
        <v>7108.5604159999993</v>
      </c>
      <c r="M99" s="16"/>
      <c r="N99" s="30">
        <f>IF(H99=0,0,L99/H99)</f>
        <v>-1.1052570136176409</v>
      </c>
      <c r="O99" s="26"/>
      <c r="P99" s="33">
        <f>SUM(P96:P98)</f>
        <v>-8428.8399999999892</v>
      </c>
      <c r="Q99" s="13"/>
      <c r="R99" s="30">
        <f>IF(P$12=0,0,P99/P$12)</f>
        <v>-0.39549885697769088</v>
      </c>
      <c r="S99" s="13"/>
      <c r="T99" s="33">
        <f>SUM(T96:T98)</f>
        <v>-38223.820426999999</v>
      </c>
      <c r="U99" s="13"/>
      <c r="V99" s="30">
        <f>IF(T$12=0,0,T99/T$12)</f>
        <v>-0.87641171245471639</v>
      </c>
      <c r="W99" s="16"/>
      <c r="X99" s="33">
        <f>+P99-T99</f>
        <v>29794.98042700001</v>
      </c>
      <c r="Y99" s="16"/>
      <c r="Z99" s="30">
        <f>IF(T99=0,0,X99/T99)</f>
        <v>-0.77948724366531019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>
        <v>44174.6791099537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7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9202</v>
      </c>
      <c r="I12" s="4"/>
      <c r="J12" s="12"/>
      <c r="K12" s="4"/>
      <c r="L12" s="4">
        <f t="shared" ref="L12:L23" si="0">+D12-H12</f>
        <v>-9202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43614</v>
      </c>
      <c r="U12" s="4"/>
      <c r="V12" s="12"/>
      <c r="W12" s="4"/>
      <c r="X12" s="4">
        <f t="shared" ref="X12:X23" si="2">+P12-T12</f>
        <v>-22302.080000000002</v>
      </c>
      <c r="Y12" s="4"/>
      <c r="Z12" s="12">
        <f t="shared" ref="Z12:Z23" si="3">IF(T12=0,0,X12/T12)</f>
        <v>-0.51135140092630815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9202</v>
      </c>
      <c r="I20" s="2"/>
      <c r="J20" s="22"/>
      <c r="K20" s="2"/>
      <c r="L20" s="2">
        <f t="shared" si="0"/>
        <v>-9202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43614</v>
      </c>
      <c r="U20" s="2"/>
      <c r="V20" s="22"/>
      <c r="W20" s="2"/>
      <c r="X20" s="2">
        <f t="shared" si="2"/>
        <v>-43614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17.61</v>
      </c>
      <c r="E25" s="4"/>
      <c r="F25" s="12">
        <f t="shared" ref="F25:F33" si="5">IF(D$12=0,0,D25/D$12)</f>
        <v>0</v>
      </c>
      <c r="G25" s="4"/>
      <c r="H25" s="4">
        <f>SUM(OSRRefH16x_0)</f>
        <v>4610</v>
      </c>
      <c r="I25" s="4"/>
      <c r="J25" s="12">
        <f t="shared" ref="J25:J33" si="6">IF(H$12=0,0,H25/H$12)</f>
        <v>0.50097804825038039</v>
      </c>
      <c r="K25" s="4"/>
      <c r="L25" s="4">
        <f t="shared" ref="L25:L33" si="7">+D25-H25</f>
        <v>-4592.3900000000003</v>
      </c>
      <c r="M25" s="4"/>
      <c r="N25" s="12">
        <f t="shared" ref="N25:N33" si="8">IF(H25=0,0,L25/H25)</f>
        <v>-0.99618004338394806</v>
      </c>
      <c r="O25" s="10"/>
      <c r="P25" s="4">
        <f>SUM(OSRRefP16x_0)</f>
        <v>14200.659999999993</v>
      </c>
      <c r="Q25" s="4"/>
      <c r="R25" s="12">
        <f t="shared" ref="R25:R33" si="9">IF(P$12=0,0,P25/P$12)</f>
        <v>0.6663247609788322</v>
      </c>
      <c r="S25" s="4"/>
      <c r="T25" s="4">
        <f>SUM(OSRRefT16x_0)</f>
        <v>22258</v>
      </c>
      <c r="U25" s="4"/>
      <c r="V25" s="12">
        <f t="shared" ref="V25:V33" si="10">IF(T$12=0,0,T25/T$12)</f>
        <v>0.5103407162837621</v>
      </c>
      <c r="W25" s="4"/>
      <c r="X25" s="4">
        <f t="shared" ref="X25:X33" si="11">+P25-T25</f>
        <v>-8057.3400000000074</v>
      </c>
      <c r="Y25" s="4"/>
      <c r="Z25" s="12">
        <f t="shared" ref="Z25:Z33" si="12">IF(T25=0,0,X25/T25)</f>
        <v>-0.36199748405067872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4610</v>
      </c>
      <c r="I26" s="2"/>
      <c r="J26" s="22">
        <f t="shared" si="6"/>
        <v>0.50097804825038039</v>
      </c>
      <c r="K26" s="2"/>
      <c r="L26" s="2">
        <f t="shared" si="7"/>
        <v>-4610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22258</v>
      </c>
      <c r="U26" s="2"/>
      <c r="V26" s="22">
        <f t="shared" si="10"/>
        <v>0.5103407162837621</v>
      </c>
      <c r="W26" s="2"/>
      <c r="X26" s="2">
        <f t="shared" si="11"/>
        <v>-22258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370.02</v>
      </c>
      <c r="Q27" s="2"/>
      <c r="R27" s="22">
        <f t="shared" si="9"/>
        <v>1.7362114722652863E-2</v>
      </c>
      <c r="S27" s="2"/>
      <c r="T27" s="2"/>
      <c r="U27" s="2"/>
      <c r="V27" s="22">
        <f t="shared" si="10"/>
        <v>0</v>
      </c>
      <c r="W27" s="2"/>
      <c r="X27" s="2">
        <f t="shared" si="11"/>
        <v>370.02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>
        <v>15.89</v>
      </c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15.89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2929.67</v>
      </c>
      <c r="Q30" s="2"/>
      <c r="R30" s="22">
        <f t="shared" si="9"/>
        <v>0.13746626301149781</v>
      </c>
      <c r="S30" s="2"/>
      <c r="T30" s="2"/>
      <c r="U30" s="2"/>
      <c r="V30" s="22">
        <f t="shared" si="10"/>
        <v>0</v>
      </c>
      <c r="W30" s="2"/>
      <c r="X30" s="2">
        <f t="shared" si="11"/>
        <v>2929.67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1.72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1.72</v>
      </c>
      <c r="M33" s="2"/>
      <c r="N33" s="22">
        <f t="shared" si="8"/>
        <v>0</v>
      </c>
      <c r="O33" s="11"/>
      <c r="P33" s="2">
        <v>281.98</v>
      </c>
      <c r="Q33" s="2"/>
      <c r="R33" s="22">
        <f t="shared" si="9"/>
        <v>1.3231093209809348E-2</v>
      </c>
      <c r="S33" s="2"/>
      <c r="T33" s="2"/>
      <c r="U33" s="2"/>
      <c r="V33" s="22">
        <f t="shared" si="10"/>
        <v>0</v>
      </c>
      <c r="W33" s="2"/>
      <c r="X33" s="2">
        <f t="shared" si="11"/>
        <v>281.98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21">
        <f>D12-D25</f>
        <v>-17.61</v>
      </c>
      <c r="E35" s="13"/>
      <c r="F35" s="20">
        <f>IF(D$12=0,0,D35/D$12)</f>
        <v>0</v>
      </c>
      <c r="G35" s="13"/>
      <c r="H35" s="21">
        <f>H12-H25</f>
        <v>4592</v>
      </c>
      <c r="I35" s="13"/>
      <c r="J35" s="20">
        <f>IF(H$12=0,0,H35/H$12)</f>
        <v>0.49902195174961966</v>
      </c>
      <c r="K35" s="16"/>
      <c r="L35" s="21">
        <f>+D35-H35</f>
        <v>-4609.6099999999997</v>
      </c>
      <c r="M35" s="16"/>
      <c r="N35" s="20">
        <f>IF(H35=0,0,L35/H35)</f>
        <v>-1.0038349303135887</v>
      </c>
      <c r="O35" s="26"/>
      <c r="P35" s="21">
        <f>P12-P25</f>
        <v>7111.2600000000057</v>
      </c>
      <c r="Q35" s="13"/>
      <c r="R35" s="20">
        <f>IF(P$12=0,0,P35/P$12)</f>
        <v>0.3336752390211678</v>
      </c>
      <c r="S35" s="13"/>
      <c r="T35" s="21">
        <f>T12-T25</f>
        <v>21356</v>
      </c>
      <c r="U35" s="13"/>
      <c r="V35" s="20">
        <f>IF(T$12=0,0,T35/T$12)</f>
        <v>0.4896592837162379</v>
      </c>
      <c r="W35" s="16"/>
      <c r="X35" s="21">
        <f>+P35-T35</f>
        <v>-14244.739999999994</v>
      </c>
      <c r="Y35" s="16"/>
      <c r="Z35" s="20">
        <f>IF(T35=0,0,X35/T35)</f>
        <v>-0.66701348567147378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19">
        <f>SUM(OSRRefD22x_0)</f>
        <v>535.58000000000004</v>
      </c>
      <c r="E37" s="19"/>
      <c r="F37" s="35">
        <f t="shared" ref="F37:F46" si="13">IF(D$12=0,0,D37/D$12)</f>
        <v>0</v>
      </c>
      <c r="G37" s="19"/>
      <c r="H37" s="19">
        <f>SUM(OSRRefH22x_0)</f>
        <v>9610.5904159999991</v>
      </c>
      <c r="I37" s="19"/>
      <c r="J37" s="35">
        <f t="shared" ref="J37:J46" si="14">IF(H$12=0,0,H37/H$12)</f>
        <v>1.0444023490545533</v>
      </c>
      <c r="K37" s="4"/>
      <c r="L37" s="19">
        <f t="shared" ref="L37:L46" si="15">+D37-H37</f>
        <v>-9075.0104159999992</v>
      </c>
      <c r="M37" s="4"/>
      <c r="N37" s="35">
        <f t="shared" ref="N37:N46" si="16">IF(H37=0,0,L37/H37)</f>
        <v>-0.94427189414831891</v>
      </c>
      <c r="O37" s="10"/>
      <c r="P37" s="19">
        <f>SUM(OSRRefP22x_0)</f>
        <v>12153.639999999996</v>
      </c>
      <c r="Q37" s="19"/>
      <c r="R37" s="35">
        <f t="shared" ref="R37:R46" si="17">IF(P$12=0,0,P37/P$12)</f>
        <v>0.57027428781639555</v>
      </c>
      <c r="S37" s="19"/>
      <c r="T37" s="19">
        <f>SUM(OSRRefT22x_0)</f>
        <v>51026.820426999999</v>
      </c>
      <c r="U37" s="19"/>
      <c r="V37" s="35">
        <f t="shared" ref="V37:V46" si="18">IF(T$12=0,0,T37/T$12)</f>
        <v>1.1699642414591644</v>
      </c>
      <c r="W37" s="4"/>
      <c r="X37" s="19">
        <f t="shared" ref="X37:X46" si="19">+P37-T37</f>
        <v>-38873.180426999999</v>
      </c>
      <c r="Y37" s="4"/>
      <c r="Z37" s="35">
        <f t="shared" ref="Z37:Z46" si="20">IF(T37=0,0,X37/T37)</f>
        <v>-0.76181859072745395</v>
      </c>
    </row>
    <row r="38" spans="1:26" s="29" customFormat="1" outlineLevel="1" collapsed="1" x14ac:dyDescent="0.2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1.39</v>
      </c>
      <c r="E38" s="1"/>
      <c r="F38" s="5">
        <f t="shared" si="13"/>
        <v>0</v>
      </c>
      <c r="G38" s="1"/>
      <c r="H38" s="1">
        <f>SUM(OSRRefH22_0x_0)</f>
        <v>1793.3904159999997</v>
      </c>
      <c r="I38" s="1"/>
      <c r="J38" s="5">
        <f t="shared" si="14"/>
        <v>0.1948913731797435</v>
      </c>
      <c r="K38" s="1"/>
      <c r="L38" s="1">
        <f t="shared" si="15"/>
        <v>-1792.0004159999996</v>
      </c>
      <c r="M38" s="1"/>
      <c r="N38" s="5">
        <f t="shared" si="16"/>
        <v>-0.9992249317339944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9404.7704269999995</v>
      </c>
      <c r="U38" s="1"/>
      <c r="V38" s="5">
        <f t="shared" si="18"/>
        <v>0.21563650265969642</v>
      </c>
      <c r="W38" s="1"/>
      <c r="X38" s="1">
        <f t="shared" si="19"/>
        <v>-8626.5704269999987</v>
      </c>
      <c r="Y38" s="1"/>
      <c r="Z38" s="5">
        <f t="shared" si="20"/>
        <v>-0.91725475852489935</v>
      </c>
    </row>
    <row r="39" spans="1:26" s="24" customFormat="1" hidden="1" outlineLevel="2" x14ac:dyDescent="0.25">
      <c r="A39" s="28"/>
      <c r="B39" s="11" t="str">
        <f>CONCATENATE("          ", "6111", " - ", "F.I.C.A.")</f>
        <v xml:space="preserve">          6111 - F.I.C.A.</v>
      </c>
      <c r="C39" s="11"/>
      <c r="D39" s="6">
        <v>1.39</v>
      </c>
      <c r="E39" s="2"/>
      <c r="F39" s="7">
        <f t="shared" si="13"/>
        <v>0</v>
      </c>
      <c r="G39" s="2"/>
      <c r="H39" s="6">
        <v>369.88479599999999</v>
      </c>
      <c r="I39" s="2"/>
      <c r="J39" s="7">
        <f t="shared" si="14"/>
        <v>4.0196130841121495E-2</v>
      </c>
      <c r="K39" s="2"/>
      <c r="L39" s="6">
        <f t="shared" si="15"/>
        <v>-368.49479600000001</v>
      </c>
      <c r="M39" s="2"/>
      <c r="N39" s="7">
        <f t="shared" si="16"/>
        <v>-0.99624207316701929</v>
      </c>
      <c r="O39" s="11"/>
      <c r="P39" s="6">
        <v>484.61</v>
      </c>
      <c r="Q39" s="2"/>
      <c r="R39" s="7">
        <f t="shared" si="17"/>
        <v>2.2738917938881154E-2</v>
      </c>
      <c r="S39" s="2"/>
      <c r="T39" s="6">
        <v>1994.555472</v>
      </c>
      <c r="U39" s="2"/>
      <c r="V39" s="7">
        <f t="shared" si="18"/>
        <v>4.5732000550282023E-2</v>
      </c>
      <c r="W39" s="2"/>
      <c r="X39" s="6">
        <f t="shared" si="19"/>
        <v>-1509.9454719999999</v>
      </c>
      <c r="Y39" s="2"/>
      <c r="Z39" s="7">
        <f t="shared" si="20"/>
        <v>-0.75703358126506892</v>
      </c>
    </row>
    <row r="40" spans="1:26" s="24" customFormat="1" hidden="1" outlineLevel="2" x14ac:dyDescent="0.25">
      <c r="A40" s="28"/>
      <c r="B40" s="11" t="str">
        <f>CONCATENATE("          ", "6112", " - ", "COMPENSATION INSURANCE")</f>
        <v xml:space="preserve">          6112 - COMPENSATION INSURANCE</v>
      </c>
      <c r="C40" s="11"/>
      <c r="D40" s="6"/>
      <c r="E40" s="2"/>
      <c r="F40" s="7">
        <f t="shared" si="13"/>
        <v>0</v>
      </c>
      <c r="G40" s="2"/>
      <c r="H40" s="6">
        <v>114.9627</v>
      </c>
      <c r="I40" s="2"/>
      <c r="J40" s="7">
        <f t="shared" si="14"/>
        <v>1.2493229732666811E-2</v>
      </c>
      <c r="K40" s="2"/>
      <c r="L40" s="6">
        <f t="shared" si="15"/>
        <v>-114.9627</v>
      </c>
      <c r="M40" s="2"/>
      <c r="N40" s="7">
        <f t="shared" si="16"/>
        <v>-1</v>
      </c>
      <c r="O40" s="11"/>
      <c r="P40" s="6">
        <v>255.57</v>
      </c>
      <c r="Q40" s="2"/>
      <c r="R40" s="7">
        <f t="shared" si="17"/>
        <v>1.1991880600152403E-2</v>
      </c>
      <c r="S40" s="2"/>
      <c r="T40" s="6">
        <v>600.954925</v>
      </c>
      <c r="U40" s="2"/>
      <c r="V40" s="7">
        <f t="shared" si="18"/>
        <v>1.3778945407437978E-2</v>
      </c>
      <c r="W40" s="2"/>
      <c r="X40" s="6">
        <f t="shared" si="19"/>
        <v>-345.38492500000001</v>
      </c>
      <c r="Y40" s="2"/>
      <c r="Z40" s="7">
        <f t="shared" si="20"/>
        <v>-0.57472683995392837</v>
      </c>
    </row>
    <row r="41" spans="1:26" s="24" customFormat="1" hidden="1" outlineLevel="2" x14ac:dyDescent="0.25">
      <c r="A41" s="28"/>
      <c r="B41" s="11" t="str">
        <f>CONCATENATE("          ", "6113", " - ", "GROUP INSURANCE")</f>
        <v xml:space="preserve">          6113 - GROUP INSURANCE</v>
      </c>
      <c r="C41" s="11"/>
      <c r="D41" s="6"/>
      <c r="E41" s="2"/>
      <c r="F41" s="7">
        <f t="shared" si="13"/>
        <v>0</v>
      </c>
      <c r="G41" s="2"/>
      <c r="H41" s="6">
        <v>665</v>
      </c>
      <c r="I41" s="2"/>
      <c r="J41" s="7">
        <f t="shared" si="14"/>
        <v>7.2266898500326013E-2</v>
      </c>
      <c r="K41" s="2"/>
      <c r="L41" s="6">
        <f t="shared" si="15"/>
        <v>-665</v>
      </c>
      <c r="M41" s="2"/>
      <c r="N41" s="7">
        <f t="shared" si="16"/>
        <v>-1</v>
      </c>
      <c r="O41" s="11"/>
      <c r="P41" s="6"/>
      <c r="Q41" s="2"/>
      <c r="R41" s="7">
        <f t="shared" si="17"/>
        <v>0</v>
      </c>
      <c r="S41" s="2"/>
      <c r="T41" s="6">
        <v>3325</v>
      </c>
      <c r="U41" s="2"/>
      <c r="V41" s="7">
        <f t="shared" si="18"/>
        <v>7.6236988123079746E-2</v>
      </c>
      <c r="W41" s="2"/>
      <c r="X41" s="6">
        <f t="shared" si="19"/>
        <v>-3325</v>
      </c>
      <c r="Y41" s="2"/>
      <c r="Z41" s="7">
        <f t="shared" si="20"/>
        <v>-1</v>
      </c>
    </row>
    <row r="42" spans="1:26" s="24" customFormat="1" hidden="1" outlineLevel="2" x14ac:dyDescent="0.25">
      <c r="A42" s="28"/>
      <c r="B42" s="11" t="str">
        <f>CONCATENATE("          ", "6114", " - ", "STATE UNEMPLOYMENT INSURANCE")</f>
        <v xml:space="preserve">          6114 - STATE UNEMPLOYMENT INSURANCE</v>
      </c>
      <c r="C42" s="11"/>
      <c r="D42" s="6"/>
      <c r="E42" s="2"/>
      <c r="F42" s="7">
        <f t="shared" si="13"/>
        <v>0</v>
      </c>
      <c r="G42" s="2"/>
      <c r="H42" s="6">
        <v>16.15692</v>
      </c>
      <c r="I42" s="2"/>
      <c r="J42" s="7">
        <f t="shared" si="14"/>
        <v>1.7558052597261464E-3</v>
      </c>
      <c r="K42" s="2"/>
      <c r="L42" s="6">
        <f t="shared" si="15"/>
        <v>-16.15692</v>
      </c>
      <c r="M42" s="2"/>
      <c r="N42" s="7">
        <f t="shared" si="16"/>
        <v>-1</v>
      </c>
      <c r="O42" s="11"/>
      <c r="P42" s="6">
        <v>38.020000000000003</v>
      </c>
      <c r="Q42" s="2"/>
      <c r="R42" s="7">
        <f t="shared" si="17"/>
        <v>1.7839781680862169E-3</v>
      </c>
      <c r="S42" s="2"/>
      <c r="T42" s="6">
        <v>84.458529999999996</v>
      </c>
      <c r="U42" s="2"/>
      <c r="V42" s="7">
        <f t="shared" si="18"/>
        <v>1.936500435639932E-3</v>
      </c>
      <c r="W42" s="2"/>
      <c r="X42" s="6">
        <f t="shared" si="19"/>
        <v>-46.438529999999993</v>
      </c>
      <c r="Y42" s="2"/>
      <c r="Z42" s="7">
        <f t="shared" si="20"/>
        <v>-0.54983824605993015</v>
      </c>
    </row>
    <row r="43" spans="1:26" s="24" customFormat="1" hidden="1" outlineLevel="2" x14ac:dyDescent="0.25">
      <c r="A43" s="28"/>
      <c r="B43" s="11" t="str">
        <f>CONCATENATE("          ", "6115", " - ", "P.E.R.S.")</f>
        <v xml:space="preserve">          6115 - P.E.R.S.</v>
      </c>
      <c r="C43" s="11"/>
      <c r="D43" s="6"/>
      <c r="E43" s="2"/>
      <c r="F43" s="7">
        <f t="shared" si="13"/>
        <v>0</v>
      </c>
      <c r="G43" s="2"/>
      <c r="H43" s="6">
        <v>357.76</v>
      </c>
      <c r="I43" s="2"/>
      <c r="J43" s="7">
        <f t="shared" si="14"/>
        <v>3.8878504672897198E-2</v>
      </c>
      <c r="K43" s="2"/>
      <c r="L43" s="6">
        <f t="shared" si="15"/>
        <v>-357.76</v>
      </c>
      <c r="M43" s="2"/>
      <c r="N43" s="7">
        <f t="shared" si="16"/>
        <v>-1</v>
      </c>
      <c r="O43" s="11"/>
      <c r="P43" s="6"/>
      <c r="Q43" s="2"/>
      <c r="R43" s="7">
        <f t="shared" si="17"/>
        <v>0</v>
      </c>
      <c r="S43" s="2"/>
      <c r="T43" s="6">
        <v>1967.68</v>
      </c>
      <c r="U43" s="2"/>
      <c r="V43" s="7">
        <f t="shared" si="18"/>
        <v>4.511578850827716E-2</v>
      </c>
      <c r="W43" s="2"/>
      <c r="X43" s="6">
        <f t="shared" si="19"/>
        <v>-1967.68</v>
      </c>
      <c r="Y43" s="2"/>
      <c r="Z43" s="7">
        <f t="shared" si="20"/>
        <v>-1</v>
      </c>
    </row>
    <row r="44" spans="1:26" s="24" customFormat="1" hidden="1" outlineLevel="2" x14ac:dyDescent="0.25">
      <c r="A44" s="28"/>
      <c r="B44" s="11" t="str">
        <f>CONCATENATE("          ", "6116", " - ", "EDUCATIONAL BENEFITS")</f>
        <v xml:space="preserve">          6116 - EDUCATIONAL BENEFITS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/>
      <c r="Q44" s="2"/>
      <c r="R44" s="7">
        <f t="shared" si="17"/>
        <v>0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0</v>
      </c>
      <c r="Y44" s="2"/>
      <c r="Z44" s="7">
        <f t="shared" si="20"/>
        <v>0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6"/>
      <c r="E45" s="2"/>
      <c r="F45" s="7">
        <f t="shared" si="13"/>
        <v>0</v>
      </c>
      <c r="G45" s="2"/>
      <c r="H45" s="6">
        <v>124.8</v>
      </c>
      <c r="I45" s="2"/>
      <c r="J45" s="7">
        <f t="shared" si="14"/>
        <v>1.3562269071940882E-2</v>
      </c>
      <c r="K45" s="2"/>
      <c r="L45" s="6">
        <f t="shared" si="15"/>
        <v>-124.8</v>
      </c>
      <c r="M45" s="2"/>
      <c r="N45" s="7">
        <f t="shared" si="16"/>
        <v>-1</v>
      </c>
      <c r="O45" s="11"/>
      <c r="P45" s="6"/>
      <c r="Q45" s="2"/>
      <c r="R45" s="7">
        <f t="shared" si="17"/>
        <v>0</v>
      </c>
      <c r="S45" s="2"/>
      <c r="T45" s="6">
        <v>686.4</v>
      </c>
      <c r="U45" s="2"/>
      <c r="V45" s="7">
        <f t="shared" si="18"/>
        <v>1.5738065758701333E-2</v>
      </c>
      <c r="W45" s="2"/>
      <c r="X45" s="6">
        <f t="shared" si="19"/>
        <v>-686.4</v>
      </c>
      <c r="Y45" s="2"/>
      <c r="Z45" s="7">
        <f t="shared" si="20"/>
        <v>-1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6"/>
      <c r="E46" s="2"/>
      <c r="F46" s="7">
        <f t="shared" si="13"/>
        <v>0</v>
      </c>
      <c r="G46" s="2"/>
      <c r="H46" s="6">
        <v>144.82599999999999</v>
      </c>
      <c r="I46" s="2"/>
      <c r="J46" s="7">
        <f t="shared" si="14"/>
        <v>1.5738535101064984E-2</v>
      </c>
      <c r="K46" s="2"/>
      <c r="L46" s="6">
        <f t="shared" si="15"/>
        <v>-144.82599999999999</v>
      </c>
      <c r="M46" s="2"/>
      <c r="N46" s="7">
        <f t="shared" si="16"/>
        <v>-1</v>
      </c>
      <c r="O46" s="11"/>
      <c r="P46" s="6"/>
      <c r="Q46" s="2"/>
      <c r="R46" s="7">
        <f t="shared" si="17"/>
        <v>0</v>
      </c>
      <c r="S46" s="2"/>
      <c r="T46" s="6">
        <v>745.72149999999999</v>
      </c>
      <c r="U46" s="2"/>
      <c r="V46" s="7">
        <f t="shared" si="18"/>
        <v>1.7098213876278259E-2</v>
      </c>
      <c r="W46" s="2"/>
      <c r="X46" s="6">
        <f t="shared" si="19"/>
        <v>-745.72149999999999</v>
      </c>
      <c r="Y46" s="2"/>
      <c r="Z46" s="7">
        <f t="shared" si="20"/>
        <v>-1</v>
      </c>
    </row>
    <row r="47" spans="1:26" s="29" customFormat="1" outlineLevel="1" collapsed="1" x14ac:dyDescent="0.2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18.190000000000001</v>
      </c>
      <c r="E47" s="1"/>
      <c r="F47" s="5">
        <f t="shared" ref="F47:F57" si="21">IF(D$12=0,0,D47/D$12)</f>
        <v>0</v>
      </c>
      <c r="G47" s="1"/>
      <c r="H47" s="1">
        <f>SUM(OSRRefH22_1x_0)</f>
        <v>6006.2</v>
      </c>
      <c r="I47" s="1"/>
      <c r="J47" s="5">
        <f t="shared" ref="J47:J57" si="22">IF(H$12=0,0,H47/H$12)</f>
        <v>0.65270593349271899</v>
      </c>
      <c r="K47" s="1"/>
      <c r="L47" s="1">
        <f t="shared" ref="L47:L57" si="23">+D47-H47</f>
        <v>-5988.01</v>
      </c>
      <c r="M47" s="1"/>
      <c r="N47" s="5">
        <f t="shared" ref="N47:N57" si="24">IF(H47=0,0,L47/H47)</f>
        <v>-0.99697146282175098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31340.050000000003</v>
      </c>
      <c r="U47" s="1"/>
      <c r="V47" s="5">
        <f t="shared" ref="V47:V57" si="26">IF(T$12=0,0,T47/T$12)</f>
        <v>0.71857775026367687</v>
      </c>
      <c r="W47" s="1"/>
      <c r="X47" s="1">
        <f t="shared" ref="X47:X57" si="27">+P47-T47</f>
        <v>-23187.510000000002</v>
      </c>
      <c r="Y47" s="1"/>
      <c r="Z47" s="5">
        <f t="shared" ref="Z47:Z57" si="28">IF(T47=0,0,X47/T47)</f>
        <v>-0.73986831546216425</v>
      </c>
    </row>
    <row r="48" spans="1:26" s="24" customFormat="1" hidden="1" outlineLevel="2" x14ac:dyDescent="0.25">
      <c r="A48" s="28"/>
      <c r="B48" s="11" t="str">
        <f>CONCATENATE("          ", "6001", " - ", "ADMINISTRATIVE SALARIES")</f>
        <v xml:space="preserve">          6001 - ADMINISTRATIVE SALARIES</v>
      </c>
      <c r="C48" s="11"/>
      <c r="D48" s="6"/>
      <c r="E48" s="2"/>
      <c r="F48" s="7">
        <f t="shared" si="21"/>
        <v>0</v>
      </c>
      <c r="G48" s="2"/>
      <c r="H48" s="6">
        <v>3952</v>
      </c>
      <c r="I48" s="2"/>
      <c r="J48" s="7">
        <f t="shared" si="22"/>
        <v>0.42947185394479459</v>
      </c>
      <c r="K48" s="2"/>
      <c r="L48" s="6">
        <f t="shared" si="23"/>
        <v>-3952</v>
      </c>
      <c r="M48" s="2"/>
      <c r="N48" s="7">
        <f t="shared" si="24"/>
        <v>-1</v>
      </c>
      <c r="O48" s="11"/>
      <c r="P48" s="6"/>
      <c r="Q48" s="2"/>
      <c r="R48" s="7">
        <f t="shared" si="25"/>
        <v>0</v>
      </c>
      <c r="S48" s="2"/>
      <c r="T48" s="6">
        <v>21736</v>
      </c>
      <c r="U48" s="2"/>
      <c r="V48" s="7">
        <f t="shared" si="26"/>
        <v>0.49837208235887559</v>
      </c>
      <c r="W48" s="2"/>
      <c r="X48" s="6">
        <f t="shared" si="27"/>
        <v>-21736</v>
      </c>
      <c r="Y48" s="2"/>
      <c r="Z48" s="7">
        <f t="shared" si="28"/>
        <v>-1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8"/>
      <c r="B50" s="11" t="str">
        <f>CONCATENATE("          ", "6003", " - ", "STAFF HOURLY-9 MONTH")</f>
        <v xml:space="preserve">          6003 - STAFF HOURLY-9 MONTH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4" customFormat="1" hidden="1" outlineLevel="2" x14ac:dyDescent="0.25">
      <c r="A51" s="28"/>
      <c r="B51" s="11" t="str">
        <f>CONCATENATE("          ", "6004", " - ", "STAFF HOURLY")</f>
        <v xml:space="preserve">          6004 - STAFF HOURLY</v>
      </c>
      <c r="C51" s="11"/>
      <c r="D51" s="6"/>
      <c r="E51" s="2"/>
      <c r="F51" s="7">
        <f t="shared" si="21"/>
        <v>0</v>
      </c>
      <c r="G51" s="2"/>
      <c r="H51" s="6">
        <v>673.2</v>
      </c>
      <c r="I51" s="2"/>
      <c r="J51" s="7">
        <f t="shared" si="22"/>
        <v>7.3158009128450344E-2</v>
      </c>
      <c r="K51" s="2"/>
      <c r="L51" s="6">
        <f t="shared" si="23"/>
        <v>-673.2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3182.4</v>
      </c>
      <c r="U51" s="2"/>
      <c r="V51" s="7">
        <f t="shared" si="26"/>
        <v>7.2967395790342546E-2</v>
      </c>
      <c r="W51" s="2"/>
      <c r="X51" s="6">
        <f t="shared" si="27"/>
        <v>-3182.4</v>
      </c>
      <c r="Y51" s="2"/>
      <c r="Z51" s="7">
        <f t="shared" si="28"/>
        <v>-1</v>
      </c>
    </row>
    <row r="52" spans="1:26" s="24" customFormat="1" hidden="1" outlineLevel="2" x14ac:dyDescent="0.25">
      <c r="A52" s="28"/>
      <c r="B52" s="11" t="str">
        <f>CONCATENATE("          ", "6005", " - ", "TEMPORARY WAGES-HOURLY")</f>
        <v xml:space="preserve">          6005 - TEMPORARY WAGES-HOURLY</v>
      </c>
      <c r="C52" s="11"/>
      <c r="D52" s="6">
        <v>18.190000000000001</v>
      </c>
      <c r="E52" s="2"/>
      <c r="F52" s="7">
        <f t="shared" si="21"/>
        <v>0</v>
      </c>
      <c r="G52" s="2"/>
      <c r="H52" s="6">
        <v>0</v>
      </c>
      <c r="I52" s="2"/>
      <c r="J52" s="7">
        <f t="shared" si="22"/>
        <v>0</v>
      </c>
      <c r="K52" s="2"/>
      <c r="L52" s="6">
        <f t="shared" si="23"/>
        <v>18.190000000000001</v>
      </c>
      <c r="M52" s="2"/>
      <c r="N52" s="7">
        <f t="shared" si="24"/>
        <v>0</v>
      </c>
      <c r="O52" s="11"/>
      <c r="P52" s="6">
        <v>5379.19</v>
      </c>
      <c r="Q52" s="2"/>
      <c r="R52" s="7">
        <f t="shared" si="25"/>
        <v>0.25240288064144384</v>
      </c>
      <c r="S52" s="2"/>
      <c r="T52" s="6">
        <v>0</v>
      </c>
      <c r="U52" s="2"/>
      <c r="V52" s="7">
        <f t="shared" si="26"/>
        <v>0</v>
      </c>
      <c r="W52" s="2"/>
      <c r="X52" s="6">
        <f t="shared" si="27"/>
        <v>5379.19</v>
      </c>
      <c r="Y52" s="2"/>
      <c r="Z52" s="7">
        <f t="shared" si="28"/>
        <v>0</v>
      </c>
    </row>
    <row r="53" spans="1:26" s="24" customFormat="1" hidden="1" outlineLevel="2" x14ac:dyDescent="0.25">
      <c r="A53" s="28"/>
      <c r="B53" s="11" t="str">
        <f>CONCATENATE("          ", "6006", " - ", "TEMPORARY PART TIME")</f>
        <v xml:space="preserve">          6006 - TEMPORARY PART TIME</v>
      </c>
      <c r="C53" s="11"/>
      <c r="D53" s="6"/>
      <c r="E53" s="2"/>
      <c r="F53" s="7">
        <f t="shared" si="21"/>
        <v>0</v>
      </c>
      <c r="G53" s="2"/>
      <c r="H53" s="6">
        <v>0</v>
      </c>
      <c r="I53" s="2"/>
      <c r="J53" s="7">
        <f t="shared" si="22"/>
        <v>0</v>
      </c>
      <c r="K53" s="2"/>
      <c r="L53" s="6">
        <f t="shared" si="23"/>
        <v>0</v>
      </c>
      <c r="M53" s="2"/>
      <c r="N53" s="7">
        <f t="shared" si="24"/>
        <v>0</v>
      </c>
      <c r="O53" s="11"/>
      <c r="P53" s="6"/>
      <c r="Q53" s="2"/>
      <c r="R53" s="7">
        <f t="shared" si="25"/>
        <v>0</v>
      </c>
      <c r="S53" s="2"/>
      <c r="T53" s="6">
        <v>0</v>
      </c>
      <c r="U53" s="2"/>
      <c r="V53" s="7">
        <f t="shared" si="26"/>
        <v>0</v>
      </c>
      <c r="W53" s="2"/>
      <c r="X53" s="6">
        <f t="shared" si="27"/>
        <v>0</v>
      </c>
      <c r="Y53" s="2"/>
      <c r="Z53" s="7">
        <f t="shared" si="28"/>
        <v>0</v>
      </c>
    </row>
    <row r="54" spans="1:26" s="24" customFormat="1" hidden="1" outlineLevel="2" x14ac:dyDescent="0.25">
      <c r="A54" s="28"/>
      <c r="B54" s="11" t="str">
        <f>CONCATENATE("          ", "6007", " - ", "STUDENT HOURLY")</f>
        <v xml:space="preserve">          6007 - STUDENT HOURLY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>
        <v>2773.35</v>
      </c>
      <c r="Q54" s="2"/>
      <c r="R54" s="7">
        <f t="shared" si="25"/>
        <v>0.13013140064339582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2773.35</v>
      </c>
      <c r="Y54" s="2"/>
      <c r="Z54" s="7">
        <f t="shared" si="28"/>
        <v>0</v>
      </c>
    </row>
    <row r="55" spans="1:26" s="24" customFormat="1" hidden="1" outlineLevel="2" x14ac:dyDescent="0.25">
      <c r="A55" s="28"/>
      <c r="B55" s="11" t="str">
        <f>CONCATENATE("          ", "6008", " - ", "STUDENT HOURLY-FICA EXEMPT")</f>
        <v xml:space="preserve">          6008 - STUDENT HOURLY-FICA EXEMPT</v>
      </c>
      <c r="C55" s="11"/>
      <c r="D55" s="6"/>
      <c r="E55" s="2"/>
      <c r="F55" s="7">
        <f t="shared" si="21"/>
        <v>0</v>
      </c>
      <c r="G55" s="2"/>
      <c r="H55" s="6">
        <v>1381</v>
      </c>
      <c r="I55" s="2"/>
      <c r="J55" s="7">
        <f t="shared" si="22"/>
        <v>0.15007607041947402</v>
      </c>
      <c r="K55" s="2"/>
      <c r="L55" s="6">
        <f t="shared" si="23"/>
        <v>-1381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6421.65</v>
      </c>
      <c r="U55" s="2"/>
      <c r="V55" s="7">
        <f t="shared" si="26"/>
        <v>0.14723827211445864</v>
      </c>
      <c r="W55" s="2"/>
      <c r="X55" s="6">
        <f t="shared" si="27"/>
        <v>-6421.65</v>
      </c>
      <c r="Y55" s="2"/>
      <c r="Z55" s="7">
        <f t="shared" si="28"/>
        <v>-1</v>
      </c>
    </row>
    <row r="56" spans="1:26" s="24" customFormat="1" hidden="1" outlineLevel="2" x14ac:dyDescent="0.25">
      <c r="A56" s="28"/>
      <c r="B56" s="11" t="str">
        <f>CONCATENATE("          ", "6009", " - ", "TEMPORARY-SEASONAL")</f>
        <v xml:space="preserve">          6009 - TEMPORARY-SEASONAL</v>
      </c>
      <c r="C56" s="11"/>
      <c r="D56" s="6"/>
      <c r="E56" s="2"/>
      <c r="F56" s="7">
        <f t="shared" si="21"/>
        <v>0</v>
      </c>
      <c r="G56" s="2"/>
      <c r="H56" s="6">
        <v>0</v>
      </c>
      <c r="I56" s="2"/>
      <c r="J56" s="7">
        <f t="shared" si="22"/>
        <v>0</v>
      </c>
      <c r="K56" s="2"/>
      <c r="L56" s="6">
        <f t="shared" si="23"/>
        <v>0</v>
      </c>
      <c r="M56" s="2"/>
      <c r="N56" s="7">
        <f t="shared" si="24"/>
        <v>0</v>
      </c>
      <c r="O56" s="11"/>
      <c r="P56" s="6"/>
      <c r="Q56" s="2"/>
      <c r="R56" s="7">
        <f t="shared" si="25"/>
        <v>0</v>
      </c>
      <c r="S56" s="2"/>
      <c r="T56" s="6">
        <v>0</v>
      </c>
      <c r="U56" s="2"/>
      <c r="V56" s="7">
        <f t="shared" si="26"/>
        <v>0</v>
      </c>
      <c r="W56" s="2"/>
      <c r="X56" s="6">
        <f t="shared" si="27"/>
        <v>0</v>
      </c>
      <c r="Y56" s="2"/>
      <c r="Z56" s="7">
        <f t="shared" si="28"/>
        <v>0</v>
      </c>
    </row>
    <row r="57" spans="1:26" s="24" customFormat="1" hidden="1" outlineLevel="2" x14ac:dyDescent="0.25">
      <c r="A57" s="28"/>
      <c r="B57" s="11" t="str">
        <f>CONCATENATE("          ", "6010", " - ", "GRATUITY")</f>
        <v xml:space="preserve">          6010 - GRATUITY</v>
      </c>
      <c r="C57" s="11"/>
      <c r="D57" s="6"/>
      <c r="E57" s="2"/>
      <c r="F57" s="7">
        <f t="shared" si="21"/>
        <v>0</v>
      </c>
      <c r="G57" s="2"/>
      <c r="H57" s="6">
        <v>0</v>
      </c>
      <c r="I57" s="2"/>
      <c r="J57" s="7">
        <f t="shared" si="22"/>
        <v>0</v>
      </c>
      <c r="K57" s="2"/>
      <c r="L57" s="6">
        <f t="shared" si="23"/>
        <v>0</v>
      </c>
      <c r="M57" s="2"/>
      <c r="N57" s="7">
        <f t="shared" si="24"/>
        <v>0</v>
      </c>
      <c r="O57" s="11"/>
      <c r="P57" s="6"/>
      <c r="Q57" s="2"/>
      <c r="R57" s="7">
        <f t="shared" si="25"/>
        <v>0</v>
      </c>
      <c r="S57" s="2"/>
      <c r="T57" s="6">
        <v>0</v>
      </c>
      <c r="U57" s="2"/>
      <c r="V57" s="7">
        <f t="shared" si="26"/>
        <v>0</v>
      </c>
      <c r="W57" s="2"/>
      <c r="X57" s="6">
        <f t="shared" si="27"/>
        <v>0</v>
      </c>
      <c r="Y57" s="2"/>
      <c r="Z57" s="7">
        <f t="shared" si="28"/>
        <v>0</v>
      </c>
    </row>
    <row r="58" spans="1:26" s="29" customFormat="1" outlineLevel="1" collapsed="1" x14ac:dyDescent="0.2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1.0867202782003912E-2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400</v>
      </c>
      <c r="U58" s="1"/>
      <c r="V58" s="5">
        <f t="shared" ref="V58:V66" si="34">IF(T$12=0,0,T58/T$12)</f>
        <v>9.1713669922501954E-3</v>
      </c>
      <c r="W58" s="1"/>
      <c r="X58" s="1">
        <f t="shared" ref="X58:X66" si="35">+P58-T58</f>
        <v>-275.27999999999997</v>
      </c>
      <c r="Y58" s="1"/>
      <c r="Z58" s="5">
        <f t="shared" ref="Z58:Z66" si="36">IF(T58=0,0,X58/T58)</f>
        <v>-0.68819999999999992</v>
      </c>
    </row>
    <row r="59" spans="1:26" s="24" customFormat="1" hidden="1" outlineLevel="2" x14ac:dyDescent="0.25">
      <c r="A59" s="28"/>
      <c r="B59" s="11" t="str">
        <f>CONCATENATE("          ", "6362", " - ", "ADVERTISING EXPENSE")</f>
        <v xml:space="preserve">          6362 - ADVERTISING EXPENSE</v>
      </c>
      <c r="C59" s="11"/>
      <c r="D59" s="6"/>
      <c r="E59" s="2"/>
      <c r="F59" s="7">
        <f t="shared" si="29"/>
        <v>0</v>
      </c>
      <c r="G59" s="2"/>
      <c r="H59" s="6">
        <v>100</v>
      </c>
      <c r="I59" s="2"/>
      <c r="J59" s="7">
        <f t="shared" si="30"/>
        <v>1.0867202782003912E-2</v>
      </c>
      <c r="K59" s="2"/>
      <c r="L59" s="6">
        <f t="shared" si="31"/>
        <v>-100</v>
      </c>
      <c r="M59" s="2"/>
      <c r="N59" s="7">
        <f t="shared" si="32"/>
        <v>-1</v>
      </c>
      <c r="O59" s="11"/>
      <c r="P59" s="6">
        <v>124.72</v>
      </c>
      <c r="Q59" s="2"/>
      <c r="R59" s="7">
        <f t="shared" si="33"/>
        <v>5.8521240695347957E-3</v>
      </c>
      <c r="S59" s="2"/>
      <c r="T59" s="6">
        <v>400</v>
      </c>
      <c r="U59" s="2"/>
      <c r="V59" s="7">
        <f t="shared" si="34"/>
        <v>9.1713669922501954E-3</v>
      </c>
      <c r="W59" s="2"/>
      <c r="X59" s="6">
        <f t="shared" si="35"/>
        <v>-275.27999999999997</v>
      </c>
      <c r="Y59" s="2"/>
      <c r="Z59" s="7">
        <f t="shared" si="36"/>
        <v>-0.68819999999999992</v>
      </c>
    </row>
    <row r="60" spans="1:26" s="29" customFormat="1" outlineLevel="1" collapsed="1" x14ac:dyDescent="0.2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8"/>
      <c r="B61" s="11" t="str">
        <f>CONCATENATE("          ", "6272", " - ", "CASH (OVER/SHORT)")</f>
        <v xml:space="preserve">          6272 - CASH (OVER/SHORT)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1.1000000000000001</v>
      </c>
      <c r="Q61" s="2"/>
      <c r="R61" s="7">
        <f t="shared" si="33"/>
        <v>5.1614307861516002E-5</v>
      </c>
      <c r="S61" s="2"/>
      <c r="T61" s="6"/>
      <c r="U61" s="2"/>
      <c r="V61" s="7">
        <f t="shared" si="34"/>
        <v>0</v>
      </c>
      <c r="W61" s="2"/>
      <c r="X61" s="6">
        <f t="shared" si="35"/>
        <v>1.1000000000000001</v>
      </c>
      <c r="Y61" s="2"/>
      <c r="Z61" s="7">
        <f t="shared" si="36"/>
        <v>0</v>
      </c>
    </row>
    <row r="62" spans="1:26" s="29" customFormat="1" outlineLevel="1" collapsed="1" x14ac:dyDescent="0.2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634</v>
      </c>
      <c r="I62" s="1"/>
      <c r="J62" s="5">
        <f t="shared" si="30"/>
        <v>6.8898065637904807E-2</v>
      </c>
      <c r="K62" s="1"/>
      <c r="L62" s="1">
        <f t="shared" si="31"/>
        <v>-634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2797</v>
      </c>
      <c r="U62" s="1"/>
      <c r="V62" s="5">
        <f t="shared" si="34"/>
        <v>6.413078369330949E-2</v>
      </c>
      <c r="W62" s="1"/>
      <c r="X62" s="1">
        <f t="shared" si="35"/>
        <v>-2797</v>
      </c>
      <c r="Y62" s="1"/>
      <c r="Z62" s="5">
        <f t="shared" si="36"/>
        <v>-1</v>
      </c>
    </row>
    <row r="63" spans="1:26" s="24" customFormat="1" hidden="1" outlineLevel="2" x14ac:dyDescent="0.25">
      <c r="A63" s="28"/>
      <c r="B63" s="11" t="str">
        <f>CONCATENATE("          ", "6381", " - ", "BANK/CREDIT CARD FEES")</f>
        <v xml:space="preserve">          6381 - BANK/CREDIT CARD FEES</v>
      </c>
      <c r="C63" s="11"/>
      <c r="D63" s="6"/>
      <c r="E63" s="2"/>
      <c r="F63" s="7">
        <f t="shared" si="29"/>
        <v>0</v>
      </c>
      <c r="G63" s="2"/>
      <c r="H63" s="6">
        <v>634</v>
      </c>
      <c r="I63" s="2"/>
      <c r="J63" s="7">
        <f t="shared" si="30"/>
        <v>6.8898065637904807E-2</v>
      </c>
      <c r="K63" s="2"/>
      <c r="L63" s="6">
        <f t="shared" si="31"/>
        <v>-634</v>
      </c>
      <c r="M63" s="2"/>
      <c r="N63" s="7">
        <f t="shared" si="32"/>
        <v>-1</v>
      </c>
      <c r="O63" s="11"/>
      <c r="P63" s="6"/>
      <c r="Q63" s="2"/>
      <c r="R63" s="7">
        <f t="shared" si="33"/>
        <v>0</v>
      </c>
      <c r="S63" s="2"/>
      <c r="T63" s="6">
        <v>2797</v>
      </c>
      <c r="U63" s="2"/>
      <c r="V63" s="7">
        <f t="shared" si="34"/>
        <v>6.413078369330949E-2</v>
      </c>
      <c r="W63" s="2"/>
      <c r="X63" s="6">
        <f t="shared" si="35"/>
        <v>-2797</v>
      </c>
      <c r="Y63" s="2"/>
      <c r="Z63" s="7">
        <f t="shared" si="36"/>
        <v>-1</v>
      </c>
    </row>
    <row r="64" spans="1:26" s="29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418.85</v>
      </c>
      <c r="E64" s="1"/>
      <c r="F64" s="5">
        <f t="shared" si="29"/>
        <v>0</v>
      </c>
      <c r="G64" s="1"/>
      <c r="H64" s="1">
        <f>SUM(OSRRefH22_5x_0)</f>
        <v>202</v>
      </c>
      <c r="I64" s="1"/>
      <c r="J64" s="5">
        <f t="shared" si="30"/>
        <v>2.1951749619647902E-2</v>
      </c>
      <c r="K64" s="1"/>
      <c r="L64" s="1">
        <f t="shared" si="31"/>
        <v>216.85000000000002</v>
      </c>
      <c r="M64" s="1"/>
      <c r="N64" s="5">
        <f t="shared" si="32"/>
        <v>1.0735148514851487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942</v>
      </c>
      <c r="U64" s="1"/>
      <c r="V64" s="5">
        <f t="shared" si="34"/>
        <v>2.1598569266749208E-2</v>
      </c>
      <c r="W64" s="1"/>
      <c r="X64" s="1">
        <f t="shared" si="35"/>
        <v>-942</v>
      </c>
      <c r="Y64" s="1"/>
      <c r="Z64" s="5">
        <f t="shared" si="36"/>
        <v>-1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6"/>
      <c r="E65" s="2"/>
      <c r="F65" s="7">
        <f t="shared" si="29"/>
        <v>0</v>
      </c>
      <c r="G65" s="2"/>
      <c r="H65" s="6">
        <v>202</v>
      </c>
      <c r="I65" s="2"/>
      <c r="J65" s="7">
        <f t="shared" si="30"/>
        <v>2.1951749619647902E-2</v>
      </c>
      <c r="K65" s="2"/>
      <c r="L65" s="6">
        <f t="shared" si="31"/>
        <v>-202</v>
      </c>
      <c r="M65" s="2"/>
      <c r="N65" s="7">
        <f t="shared" si="32"/>
        <v>-1</v>
      </c>
      <c r="O65" s="11"/>
      <c r="P65" s="6"/>
      <c r="Q65" s="2"/>
      <c r="R65" s="7">
        <f t="shared" si="33"/>
        <v>0</v>
      </c>
      <c r="S65" s="2"/>
      <c r="T65" s="6">
        <v>942</v>
      </c>
      <c r="U65" s="2"/>
      <c r="V65" s="7">
        <f t="shared" si="34"/>
        <v>2.1598569266749208E-2</v>
      </c>
      <c r="W65" s="2"/>
      <c r="X65" s="6">
        <f t="shared" si="35"/>
        <v>-942</v>
      </c>
      <c r="Y65" s="2"/>
      <c r="Z65" s="7">
        <f t="shared" si="36"/>
        <v>-1</v>
      </c>
    </row>
    <row r="66" spans="1:26" s="24" customFormat="1" hidden="1" outlineLevel="2" x14ac:dyDescent="0.25">
      <c r="A66" s="28"/>
      <c r="B66" s="11" t="str">
        <f>CONCATENATE("          ", "9175", " - ", "EARNED DISCOUNTS")</f>
        <v xml:space="preserve">          9175 - EARNED DISCOUNTS</v>
      </c>
      <c r="C66" s="11"/>
      <c r="D66" s="6">
        <v>418.85</v>
      </c>
      <c r="E66" s="2"/>
      <c r="F66" s="7">
        <f t="shared" si="29"/>
        <v>0</v>
      </c>
      <c r="G66" s="2"/>
      <c r="H66" s="6"/>
      <c r="I66" s="2"/>
      <c r="J66" s="7">
        <f t="shared" si="30"/>
        <v>0</v>
      </c>
      <c r="K66" s="2"/>
      <c r="L66" s="6">
        <f t="shared" si="31"/>
        <v>418.85</v>
      </c>
      <c r="M66" s="2"/>
      <c r="N66" s="7">
        <f t="shared" si="32"/>
        <v>0</v>
      </c>
      <c r="O66" s="11"/>
      <c r="P66" s="6">
        <v>0</v>
      </c>
      <c r="Q66" s="2"/>
      <c r="R66" s="7">
        <f t="shared" si="33"/>
        <v>0</v>
      </c>
      <c r="S66" s="2"/>
      <c r="T66" s="6"/>
      <c r="U66" s="2"/>
      <c r="V66" s="7">
        <f t="shared" si="34"/>
        <v>0</v>
      </c>
      <c r="W66" s="2"/>
      <c r="X66" s="6">
        <f t="shared" si="35"/>
        <v>0</v>
      </c>
      <c r="Y66" s="2"/>
      <c r="Z66" s="7">
        <f t="shared" si="36"/>
        <v>0</v>
      </c>
    </row>
    <row r="67" spans="1:26" s="29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101</v>
      </c>
      <c r="I67" s="1"/>
      <c r="J67" s="5">
        <f t="shared" ref="J67:J75" si="38">IF(H$12=0,0,H67/H$12)</f>
        <v>1.0975874809823951E-2</v>
      </c>
      <c r="K67" s="1"/>
      <c r="L67" s="1">
        <f t="shared" ref="L67:L75" si="39">+D67-H67</f>
        <v>-101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887</v>
      </c>
      <c r="U67" s="1"/>
      <c r="V67" s="5">
        <f t="shared" ref="V67:V75" si="42">IF(T$12=0,0,T67/T$12)</f>
        <v>2.0337506305314806E-2</v>
      </c>
      <c r="W67" s="1"/>
      <c r="X67" s="1">
        <f t="shared" ref="X67:X75" si="43">+P67-T67</f>
        <v>-887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8"/>
      <c r="B68" s="11" t="str">
        <f>CONCATENATE("          ", "6305", " - ", "FREIGHT OUT")</f>
        <v xml:space="preserve">          6305 - FREIGHT OUT</v>
      </c>
      <c r="C68" s="11"/>
      <c r="D68" s="6"/>
      <c r="E68" s="2"/>
      <c r="F68" s="7">
        <f t="shared" si="37"/>
        <v>0</v>
      </c>
      <c r="G68" s="2"/>
      <c r="H68" s="6">
        <v>101</v>
      </c>
      <c r="I68" s="2"/>
      <c r="J68" s="7">
        <f t="shared" si="38"/>
        <v>1.0975874809823951E-2</v>
      </c>
      <c r="K68" s="2"/>
      <c r="L68" s="6">
        <f t="shared" si="39"/>
        <v>-101</v>
      </c>
      <c r="M68" s="2"/>
      <c r="N68" s="7">
        <f t="shared" si="40"/>
        <v>-1</v>
      </c>
      <c r="O68" s="11"/>
      <c r="P68" s="6"/>
      <c r="Q68" s="2"/>
      <c r="R68" s="7">
        <f t="shared" si="41"/>
        <v>0</v>
      </c>
      <c r="S68" s="2"/>
      <c r="T68" s="6">
        <v>887</v>
      </c>
      <c r="U68" s="2"/>
      <c r="V68" s="7">
        <f t="shared" si="42"/>
        <v>2.0337506305314806E-2</v>
      </c>
      <c r="W68" s="2"/>
      <c r="X68" s="6">
        <f t="shared" si="43"/>
        <v>-887</v>
      </c>
      <c r="Y68" s="2"/>
      <c r="Z68" s="7">
        <f t="shared" si="44"/>
        <v>-1</v>
      </c>
    </row>
    <row r="69" spans="1:26" s="29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719.55</v>
      </c>
      <c r="Q69" s="1"/>
      <c r="R69" s="5">
        <f t="shared" si="41"/>
        <v>3.3762795656139849E-2</v>
      </c>
      <c r="S69" s="1"/>
      <c r="T69" s="1">
        <f>SUM(OSRRefT22_7x_0)</f>
        <v>1000</v>
      </c>
      <c r="U69" s="1"/>
      <c r="V69" s="5">
        <f t="shared" si="42"/>
        <v>2.2928417480625487E-2</v>
      </c>
      <c r="W69" s="1"/>
      <c r="X69" s="1">
        <f t="shared" si="43"/>
        <v>-280.45000000000005</v>
      </c>
      <c r="Y69" s="1"/>
      <c r="Z69" s="5">
        <f t="shared" si="44"/>
        <v>-0.28045000000000003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719.55</v>
      </c>
      <c r="Q70" s="2"/>
      <c r="R70" s="7">
        <f t="shared" si="41"/>
        <v>3.3762795656139849E-2</v>
      </c>
      <c r="S70" s="2"/>
      <c r="T70" s="6">
        <v>1000</v>
      </c>
      <c r="U70" s="2"/>
      <c r="V70" s="7">
        <f t="shared" si="42"/>
        <v>2.2928417480625487E-2</v>
      </c>
      <c r="W70" s="2"/>
      <c r="X70" s="6">
        <f t="shared" si="43"/>
        <v>-280.45000000000005</v>
      </c>
      <c r="Y70" s="2"/>
      <c r="Z70" s="7">
        <f t="shared" si="44"/>
        <v>-0.28045000000000003</v>
      </c>
    </row>
    <row r="71" spans="1:26" s="29" customFormat="1" outlineLevel="1" collapsed="1" x14ac:dyDescent="0.2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1.8342733984500391E-2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8"/>
      <c r="B72" s="11" t="str">
        <f>CONCATENATE("          ", "6336", " - ", "PROFESSIONAL SERVICES")</f>
        <v xml:space="preserve">          6336 - PROFESSIONAL SERVICES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/>
      <c r="Q72" s="2"/>
      <c r="R72" s="7">
        <f t="shared" si="41"/>
        <v>0</v>
      </c>
      <c r="S72" s="2"/>
      <c r="T72" s="6">
        <v>800</v>
      </c>
      <c r="U72" s="2"/>
      <c r="V72" s="7">
        <f t="shared" si="42"/>
        <v>1.8342733984500391E-2</v>
      </c>
      <c r="W72" s="2"/>
      <c r="X72" s="6">
        <f t="shared" si="43"/>
        <v>-800</v>
      </c>
      <c r="Y72" s="2"/>
      <c r="Z72" s="7">
        <f t="shared" si="44"/>
        <v>-1</v>
      </c>
    </row>
    <row r="73" spans="1:26" s="29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1.0867202782003912E-2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139.71</v>
      </c>
      <c r="Q73" s="1"/>
      <c r="R73" s="5">
        <f t="shared" si="41"/>
        <v>6.555486319393092E-3</v>
      </c>
      <c r="S73" s="1"/>
      <c r="T73" s="1">
        <f>SUM(OSRRefT22_9x_0)</f>
        <v>500</v>
      </c>
      <c r="U73" s="1"/>
      <c r="V73" s="5">
        <f t="shared" si="42"/>
        <v>1.1464208740312743E-2</v>
      </c>
      <c r="W73" s="1"/>
      <c r="X73" s="1">
        <f t="shared" si="43"/>
        <v>-360.28999999999996</v>
      </c>
      <c r="Y73" s="1"/>
      <c r="Z73" s="5">
        <f t="shared" si="44"/>
        <v>-0.72057999999999989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139.71</v>
      </c>
      <c r="Q74" s="2"/>
      <c r="R74" s="7">
        <f t="shared" si="41"/>
        <v>6.555486319393092E-3</v>
      </c>
      <c r="S74" s="2"/>
      <c r="T74" s="6"/>
      <c r="U74" s="2"/>
      <c r="V74" s="7">
        <f t="shared" si="42"/>
        <v>0</v>
      </c>
      <c r="W74" s="2"/>
      <c r="X74" s="6">
        <f t="shared" si="43"/>
        <v>139.71</v>
      </c>
      <c r="Y74" s="2"/>
      <c r="Z74" s="7">
        <f t="shared" si="44"/>
        <v>0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37"/>
        <v>0</v>
      </c>
      <c r="G75" s="2"/>
      <c r="H75" s="6">
        <v>100</v>
      </c>
      <c r="I75" s="2"/>
      <c r="J75" s="7">
        <f t="shared" si="38"/>
        <v>1.0867202782003912E-2</v>
      </c>
      <c r="K75" s="2"/>
      <c r="L75" s="6">
        <f t="shared" si="39"/>
        <v>-100</v>
      </c>
      <c r="M75" s="2"/>
      <c r="N75" s="7">
        <f t="shared" si="40"/>
        <v>-1</v>
      </c>
      <c r="O75" s="11"/>
      <c r="P75" s="6"/>
      <c r="Q75" s="2"/>
      <c r="R75" s="7">
        <f t="shared" si="41"/>
        <v>0</v>
      </c>
      <c r="S75" s="2"/>
      <c r="T75" s="6">
        <v>500</v>
      </c>
      <c r="U75" s="2"/>
      <c r="V75" s="7">
        <f t="shared" si="42"/>
        <v>1.1464208740312743E-2</v>
      </c>
      <c r="W75" s="2"/>
      <c r="X75" s="6">
        <f t="shared" si="43"/>
        <v>-500</v>
      </c>
      <c r="Y75" s="2"/>
      <c r="Z75" s="7">
        <f t="shared" si="44"/>
        <v>-1</v>
      </c>
    </row>
    <row r="76" spans="1:26" s="29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44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2.9776135622690721E-2</v>
      </c>
      <c r="K76" s="1"/>
      <c r="L76" s="1">
        <f t="shared" ref="L76:L78" si="47">+D76-H76</f>
        <v>-230</v>
      </c>
      <c r="M76" s="1"/>
      <c r="N76" s="5">
        <f t="shared" ref="N76:N78" si="48">IF(H76=0,0,L76/H76)</f>
        <v>-0.83941605839416056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1096</v>
      </c>
      <c r="U76" s="1"/>
      <c r="V76" s="5">
        <f t="shared" ref="V76:V78" si="50">IF(T$12=0,0,T76/T$12)</f>
        <v>2.5129545558765534E-2</v>
      </c>
      <c r="W76" s="1"/>
      <c r="X76" s="1">
        <f t="shared" ref="X76:X78" si="51">+P76-T76</f>
        <v>-1077.5</v>
      </c>
      <c r="Y76" s="1"/>
      <c r="Z76" s="5">
        <f t="shared" ref="Z76:Z78" si="52">IF(T76=0,0,X76/T76)</f>
        <v>-0.98312043795620441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44</v>
      </c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44</v>
      </c>
      <c r="M77" s="2"/>
      <c r="N77" s="7">
        <f t="shared" si="48"/>
        <v>0</v>
      </c>
      <c r="O77" s="11"/>
      <c r="P77" s="6">
        <v>176</v>
      </c>
      <c r="Q77" s="2"/>
      <c r="R77" s="7">
        <f t="shared" si="49"/>
        <v>8.2582892578425601E-3</v>
      </c>
      <c r="S77" s="2"/>
      <c r="T77" s="6"/>
      <c r="U77" s="2"/>
      <c r="V77" s="7">
        <f t="shared" si="50"/>
        <v>0</v>
      </c>
      <c r="W77" s="2"/>
      <c r="X77" s="6">
        <f t="shared" si="51"/>
        <v>176</v>
      </c>
      <c r="Y77" s="2"/>
      <c r="Z77" s="7">
        <f t="shared" si="52"/>
        <v>0</v>
      </c>
    </row>
    <row r="78" spans="1:26" s="24" customFormat="1" hidden="1" outlineLevel="2" x14ac:dyDescent="0.25">
      <c r="A78" s="28"/>
      <c r="B78" s="11" t="str">
        <f>CONCATENATE("          ", "6285", " - ", "JANITORIAL SERVICES")</f>
        <v xml:space="preserve">          6285 - JANITORIAL SERVICES</v>
      </c>
      <c r="C78" s="11"/>
      <c r="D78" s="6"/>
      <c r="E78" s="2"/>
      <c r="F78" s="7">
        <f t="shared" si="45"/>
        <v>0</v>
      </c>
      <c r="G78" s="2"/>
      <c r="H78" s="6">
        <v>274</v>
      </c>
      <c r="I78" s="2"/>
      <c r="J78" s="7">
        <f t="shared" si="46"/>
        <v>2.9776135622690721E-2</v>
      </c>
      <c r="K78" s="2"/>
      <c r="L78" s="6">
        <f t="shared" si="47"/>
        <v>-274</v>
      </c>
      <c r="M78" s="2"/>
      <c r="N78" s="7">
        <f t="shared" si="48"/>
        <v>-1</v>
      </c>
      <c r="O78" s="11"/>
      <c r="P78" s="6">
        <v>-157.5</v>
      </c>
      <c r="Q78" s="2"/>
      <c r="R78" s="7">
        <f t="shared" si="49"/>
        <v>-7.3902304438079732E-3</v>
      </c>
      <c r="S78" s="2"/>
      <c r="T78" s="6">
        <v>1096</v>
      </c>
      <c r="U78" s="2"/>
      <c r="V78" s="7">
        <f t="shared" si="50"/>
        <v>2.5129545558765534E-2</v>
      </c>
      <c r="W78" s="2"/>
      <c r="X78" s="6">
        <f t="shared" si="51"/>
        <v>-1253.5</v>
      </c>
      <c r="Y78" s="2"/>
      <c r="Z78" s="7">
        <f t="shared" si="52"/>
        <v>-1.1437043795620438</v>
      </c>
    </row>
    <row r="79" spans="1:26" s="29" customFormat="1" outlineLevel="1" collapsed="1" x14ac:dyDescent="0.2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3.2601608346011737E-2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1300</v>
      </c>
      <c r="U79" s="1"/>
      <c r="V79" s="5">
        <f t="shared" ref="V79:V83" si="58">IF(T$12=0,0,T79/T$12)</f>
        <v>2.9806942724813133E-2</v>
      </c>
      <c r="W79" s="1"/>
      <c r="X79" s="1">
        <f t="shared" ref="X79:X83" si="59">+P79-T79</f>
        <v>592.27</v>
      </c>
      <c r="Y79" s="1"/>
      <c r="Z79" s="5">
        <f t="shared" ref="Z79:Z83" si="60">IF(T79=0,0,X79/T79)</f>
        <v>0.45559230769230769</v>
      </c>
    </row>
    <row r="80" spans="1:26" s="24" customFormat="1" hidden="1" outlineLevel="2" x14ac:dyDescent="0.25">
      <c r="A80" s="28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53"/>
        <v>0</v>
      </c>
      <c r="G80" s="2"/>
      <c r="H80" s="6">
        <v>200</v>
      </c>
      <c r="I80" s="2"/>
      <c r="J80" s="7">
        <f t="shared" si="54"/>
        <v>2.1734405564007825E-2</v>
      </c>
      <c r="K80" s="2"/>
      <c r="L80" s="6">
        <f t="shared" si="55"/>
        <v>-200</v>
      </c>
      <c r="M80" s="2"/>
      <c r="N80" s="7">
        <f t="shared" si="56"/>
        <v>-1</v>
      </c>
      <c r="O80" s="11"/>
      <c r="P80" s="6">
        <v>444.3</v>
      </c>
      <c r="Q80" s="2"/>
      <c r="R80" s="7">
        <f t="shared" si="57"/>
        <v>2.0847488166246871E-2</v>
      </c>
      <c r="S80" s="2"/>
      <c r="T80" s="6">
        <v>800</v>
      </c>
      <c r="U80" s="2"/>
      <c r="V80" s="7">
        <f t="shared" si="58"/>
        <v>1.8342733984500391E-2</v>
      </c>
      <c r="W80" s="2"/>
      <c r="X80" s="6">
        <f t="shared" si="59"/>
        <v>-355.7</v>
      </c>
      <c r="Y80" s="2"/>
      <c r="Z80" s="7">
        <f t="shared" si="60"/>
        <v>-0.44462499999999999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225.24</v>
      </c>
      <c r="Q81" s="2"/>
      <c r="R81" s="7">
        <f t="shared" si="57"/>
        <v>1.056873336611624E-2</v>
      </c>
      <c r="S81" s="2"/>
      <c r="T81" s="6"/>
      <c r="U81" s="2"/>
      <c r="V81" s="7">
        <f t="shared" si="58"/>
        <v>0</v>
      </c>
      <c r="W81" s="2"/>
      <c r="X81" s="6">
        <f t="shared" si="59"/>
        <v>225.24</v>
      </c>
      <c r="Y81" s="2"/>
      <c r="Z81" s="7">
        <f t="shared" si="60"/>
        <v>0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53"/>
        <v>0</v>
      </c>
      <c r="G82" s="2"/>
      <c r="H82" s="6">
        <v>100</v>
      </c>
      <c r="I82" s="2"/>
      <c r="J82" s="7">
        <f t="shared" si="54"/>
        <v>1.0867202782003912E-2</v>
      </c>
      <c r="K82" s="2"/>
      <c r="L82" s="6">
        <f t="shared" si="55"/>
        <v>-100</v>
      </c>
      <c r="M82" s="2"/>
      <c r="N82" s="7">
        <f t="shared" si="56"/>
        <v>-1</v>
      </c>
      <c r="O82" s="11"/>
      <c r="P82" s="6">
        <v>1222.73</v>
      </c>
      <c r="Q82" s="2"/>
      <c r="R82" s="7">
        <f t="shared" si="57"/>
        <v>5.7373056955919509E-2</v>
      </c>
      <c r="S82" s="2"/>
      <c r="T82" s="6">
        <v>400</v>
      </c>
      <c r="U82" s="2"/>
      <c r="V82" s="7">
        <f t="shared" si="58"/>
        <v>9.1713669922501954E-3</v>
      </c>
      <c r="W82" s="2"/>
      <c r="X82" s="6">
        <f t="shared" si="59"/>
        <v>822.73</v>
      </c>
      <c r="Y82" s="2"/>
      <c r="Z82" s="7">
        <f t="shared" si="60"/>
        <v>2.0568249999999999</v>
      </c>
    </row>
    <row r="83" spans="1:26" s="24" customFormat="1" hidden="1" outlineLevel="2" x14ac:dyDescent="0.25">
      <c r="A83" s="28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/>
      <c r="Q83" s="2"/>
      <c r="R83" s="7">
        <f t="shared" si="57"/>
        <v>0</v>
      </c>
      <c r="S83" s="2"/>
      <c r="T83" s="6">
        <v>100</v>
      </c>
      <c r="U83" s="2"/>
      <c r="V83" s="7">
        <f t="shared" si="58"/>
        <v>2.2928417480625489E-3</v>
      </c>
      <c r="W83" s="2"/>
      <c r="X83" s="6">
        <f t="shared" si="59"/>
        <v>-100</v>
      </c>
      <c r="Y83" s="2"/>
      <c r="Z83" s="7">
        <f t="shared" si="60"/>
        <v>-1</v>
      </c>
    </row>
    <row r="84" spans="1:26" s="29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53.15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1.0867202782003912E-2</v>
      </c>
      <c r="K84" s="1"/>
      <c r="L84" s="1">
        <f t="shared" ref="L84:L86" si="63">+D84-H84</f>
        <v>-46.85</v>
      </c>
      <c r="M84" s="1"/>
      <c r="N84" s="5">
        <f t="shared" ref="N84:N86" si="64">IF(H84=0,0,L84/H84)</f>
        <v>-0.46850000000000003</v>
      </c>
      <c r="O84" s="14"/>
      <c r="P84" s="1">
        <f>SUM(OSRRefP22_12x_0)</f>
        <v>313.05</v>
      </c>
      <c r="Q84" s="1"/>
      <c r="R84" s="5">
        <f t="shared" ref="R84:R86" si="65">IF(P$12=0,0,P84/P$12)</f>
        <v>1.4688962796406895E-2</v>
      </c>
      <c r="S84" s="1"/>
      <c r="T84" s="1">
        <f>SUM(OSRRefT22_12x_0)</f>
        <v>500</v>
      </c>
      <c r="U84" s="1"/>
      <c r="V84" s="5">
        <f t="shared" ref="V84:V86" si="66">IF(T$12=0,0,T84/T$12)</f>
        <v>1.1464208740312743E-2</v>
      </c>
      <c r="W84" s="1"/>
      <c r="X84" s="1">
        <f t="shared" ref="X84:X86" si="67">+P84-T84</f>
        <v>-186.95</v>
      </c>
      <c r="Y84" s="1"/>
      <c r="Z84" s="5">
        <f t="shared" ref="Z84:Z86" si="68">IF(T84=0,0,X84/T84)</f>
        <v>-0.37389999999999995</v>
      </c>
    </row>
    <row r="85" spans="1:26" s="24" customFormat="1" hidden="1" outlineLevel="2" x14ac:dyDescent="0.25">
      <c r="A85" s="28"/>
      <c r="B85" s="11" t="str">
        <f>CONCATENATE("          ", "6303", " - ", "DATA PHONE LINES")</f>
        <v xml:space="preserve">          6303 - DATA PHONE LINES</v>
      </c>
      <c r="C85" s="11"/>
      <c r="D85" s="6"/>
      <c r="E85" s="2"/>
      <c r="F85" s="7">
        <f t="shared" si="61"/>
        <v>0</v>
      </c>
      <c r="G85" s="2"/>
      <c r="H85" s="6">
        <v>100</v>
      </c>
      <c r="I85" s="2"/>
      <c r="J85" s="7">
        <f t="shared" si="62"/>
        <v>1.0867202782003912E-2</v>
      </c>
      <c r="K85" s="2"/>
      <c r="L85" s="6">
        <f t="shared" si="63"/>
        <v>-100</v>
      </c>
      <c r="M85" s="2"/>
      <c r="N85" s="7">
        <f t="shared" si="64"/>
        <v>-1</v>
      </c>
      <c r="O85" s="11"/>
      <c r="P85" s="6"/>
      <c r="Q85" s="2"/>
      <c r="R85" s="7">
        <f t="shared" si="65"/>
        <v>0</v>
      </c>
      <c r="S85" s="2"/>
      <c r="T85" s="6">
        <v>500</v>
      </c>
      <c r="U85" s="2"/>
      <c r="V85" s="7">
        <f t="shared" si="66"/>
        <v>1.1464208740312743E-2</v>
      </c>
      <c r="W85" s="2"/>
      <c r="X85" s="6">
        <f t="shared" si="67"/>
        <v>-500</v>
      </c>
      <c r="Y85" s="2"/>
      <c r="Z85" s="7">
        <f t="shared" si="68"/>
        <v>-1</v>
      </c>
    </row>
    <row r="86" spans="1:26" s="24" customFormat="1" hidden="1" outlineLevel="2" x14ac:dyDescent="0.25">
      <c r="A86" s="28"/>
      <c r="B86" s="11" t="str">
        <f>CONCATENATE("          ", "6309", " - ", "TELEPHONE")</f>
        <v xml:space="preserve">          6309 - TELEPHONE</v>
      </c>
      <c r="C86" s="11"/>
      <c r="D86" s="6">
        <v>53.15</v>
      </c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53.15</v>
      </c>
      <c r="M86" s="2"/>
      <c r="N86" s="7">
        <f t="shared" si="64"/>
        <v>0</v>
      </c>
      <c r="O86" s="11"/>
      <c r="P86" s="6">
        <v>313.05</v>
      </c>
      <c r="Q86" s="2"/>
      <c r="R86" s="7">
        <f t="shared" si="65"/>
        <v>1.4688962796406895E-2</v>
      </c>
      <c r="S86" s="2"/>
      <c r="T86" s="6"/>
      <c r="U86" s="2"/>
      <c r="V86" s="7">
        <f t="shared" si="66"/>
        <v>0</v>
      </c>
      <c r="W86" s="2"/>
      <c r="X86" s="6">
        <f t="shared" si="67"/>
        <v>313.05</v>
      </c>
      <c r="Y86" s="2"/>
      <c r="Z86" s="7">
        <f t="shared" si="68"/>
        <v>0</v>
      </c>
    </row>
    <row r="87" spans="1:26" s="29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4">IF(T$12=0,0,T87/T$12)</f>
        <v>1.3757050488375291E-3</v>
      </c>
      <c r="W87" s="1"/>
      <c r="X87" s="1">
        <f t="shared" ref="X87:X88" si="75">+P87-T87</f>
        <v>-46</v>
      </c>
      <c r="Y87" s="1"/>
      <c r="Z87" s="5">
        <f t="shared" ref="Z87:Z88" si="76">IF(T87=0,0,X87/T87)</f>
        <v>-0.76666666666666672</v>
      </c>
    </row>
    <row r="88" spans="1:26" s="24" customFormat="1" hidden="1" outlineLevel="2" x14ac:dyDescent="0.25">
      <c r="A88" s="28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9"/>
        <v>0</v>
      </c>
      <c r="G88" s="2"/>
      <c r="H88" s="6"/>
      <c r="I88" s="2"/>
      <c r="J88" s="7">
        <f t="shared" si="70"/>
        <v>0</v>
      </c>
      <c r="K88" s="2"/>
      <c r="L88" s="6">
        <f t="shared" si="71"/>
        <v>0</v>
      </c>
      <c r="M88" s="2"/>
      <c r="N88" s="7">
        <f t="shared" si="72"/>
        <v>0</v>
      </c>
      <c r="O88" s="11"/>
      <c r="P88" s="6">
        <v>14</v>
      </c>
      <c r="Q88" s="2"/>
      <c r="R88" s="7">
        <f t="shared" si="73"/>
        <v>6.5690937278293094E-4</v>
      </c>
      <c r="S88" s="2"/>
      <c r="T88" s="6">
        <v>60</v>
      </c>
      <c r="U88" s="2"/>
      <c r="V88" s="7">
        <f t="shared" si="74"/>
        <v>1.3757050488375291E-3</v>
      </c>
      <c r="W88" s="2"/>
      <c r="X88" s="6">
        <f t="shared" si="75"/>
        <v>-46</v>
      </c>
      <c r="Y88" s="2"/>
      <c r="Z88" s="7">
        <f t="shared" si="76"/>
        <v>-0.76666666666666672</v>
      </c>
    </row>
    <row r="89" spans="1:26" s="62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21">
        <f>+D35-D37+D90</f>
        <v>-553.19000000000005</v>
      </c>
      <c r="E92" s="13"/>
      <c r="F92" s="20">
        <f>IF(D$12=0,0,D92/D$12)</f>
        <v>0</v>
      </c>
      <c r="G92" s="13"/>
      <c r="H92" s="21">
        <f>+H35-H37+H90</f>
        <v>-5018.5904159999991</v>
      </c>
      <c r="I92" s="13"/>
      <c r="J92" s="20">
        <f>IF(H$12=0,0,H92/H$12)</f>
        <v>-0.5453803973049336</v>
      </c>
      <c r="K92" s="16"/>
      <c r="L92" s="21">
        <f>+D92-H92</f>
        <v>4465.4004159999986</v>
      </c>
      <c r="M92" s="16"/>
      <c r="N92" s="20">
        <f>IF(H92=0,0,L92/H92)</f>
        <v>-0.88977183747923516</v>
      </c>
      <c r="O92" s="26"/>
      <c r="P92" s="21">
        <f>+P35-P37+P90</f>
        <v>-5042.3799999999901</v>
      </c>
      <c r="Q92" s="13"/>
      <c r="R92" s="20">
        <f>IF(P$12=0,0,P92/P$12)</f>
        <v>-0.23659904879522778</v>
      </c>
      <c r="S92" s="13"/>
      <c r="T92" s="21">
        <f>+T35-T37+T90</f>
        <v>-29670.820426999999</v>
      </c>
      <c r="U92" s="13"/>
      <c r="V92" s="20">
        <f>IF(T$12=0,0,T92/T$12)</f>
        <v>-0.68030495774292654</v>
      </c>
      <c r="W92" s="16"/>
      <c r="X92" s="21">
        <f>+P92-T92</f>
        <v>24628.440427000009</v>
      </c>
      <c r="Y92" s="16"/>
      <c r="Z92" s="20">
        <f>IF(T92=0,0,X92/T92)</f>
        <v>-0.83005592944738726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-1230.1600000000001</v>
      </c>
      <c r="E94" s="4"/>
      <c r="F94" s="12">
        <f>IF(D$12=0,0,D94/D$12)</f>
        <v>0</v>
      </c>
      <c r="G94" s="4"/>
      <c r="H94" s="4">
        <v>1413</v>
      </c>
      <c r="I94" s="4"/>
      <c r="J94" s="12">
        <f>IF(H$12=0,0,H94/H$12)</f>
        <v>0.15355357530971528</v>
      </c>
      <c r="K94" s="4"/>
      <c r="L94" s="4">
        <f>+D94-H94</f>
        <v>-2643.16</v>
      </c>
      <c r="M94" s="4"/>
      <c r="N94" s="12">
        <f>IF(H94=0,0,L94/H94)</f>
        <v>-1.8706015569709835</v>
      </c>
      <c r="O94" s="10"/>
      <c r="P94" s="4">
        <v>3386.46</v>
      </c>
      <c r="Q94" s="4"/>
      <c r="R94" s="12">
        <f>IF(P$12=0,0,P94/P$12)</f>
        <v>0.15889980818246316</v>
      </c>
      <c r="S94" s="4"/>
      <c r="T94" s="4">
        <v>8553</v>
      </c>
      <c r="U94" s="4"/>
      <c r="V94" s="12">
        <f>IF(T$12=0,0,T94/T$12)</f>
        <v>0.19610675471178979</v>
      </c>
      <c r="W94" s="4"/>
      <c r="X94" s="4">
        <f>+P94-T94</f>
        <v>-5166.54</v>
      </c>
      <c r="Y94" s="4"/>
      <c r="Z94" s="12">
        <f>IF(T94=0,0,X94/T94)</f>
        <v>-0.60406173272535957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1">
        <f>+D92-D94</f>
        <v>676.97</v>
      </c>
      <c r="E96" s="13"/>
      <c r="F96" s="34">
        <f>IF(D$12=0,0,D96/D$12)</f>
        <v>0</v>
      </c>
      <c r="G96" s="13"/>
      <c r="H96" s="31">
        <f>+H92-H94</f>
        <v>-6431.5904159999991</v>
      </c>
      <c r="I96" s="13"/>
      <c r="J96" s="34">
        <f>IF(H$12=0,0,H96/H$12)</f>
        <v>-0.69893397261464885</v>
      </c>
      <c r="K96" s="16"/>
      <c r="L96" s="31">
        <f>D96-H96</f>
        <v>7108.5604159999993</v>
      </c>
      <c r="M96" s="16"/>
      <c r="N96" s="34">
        <f>IF(H96=0,0,L96/H96)</f>
        <v>-1.1052570136176409</v>
      </c>
      <c r="O96" s="26"/>
      <c r="P96" s="31">
        <f>+P92-P94</f>
        <v>-8428.8399999999892</v>
      </c>
      <c r="Q96" s="13"/>
      <c r="R96" s="34">
        <f>IF(P$12=0,0,P96/P$12)</f>
        <v>-0.39549885697769088</v>
      </c>
      <c r="S96" s="13"/>
      <c r="T96" s="31">
        <f>+T92-T94</f>
        <v>-38223.820426999999</v>
      </c>
      <c r="U96" s="13"/>
      <c r="V96" s="34">
        <f>IF(T$12=0,0,T96/T$12)</f>
        <v>-0.87641171245471639</v>
      </c>
      <c r="W96" s="16"/>
      <c r="X96" s="31">
        <f>P96-T96</f>
        <v>29794.98042700001</v>
      </c>
      <c r="Y96" s="16"/>
      <c r="Z96" s="34">
        <f>IF(T96=0,0,X96/T96)</f>
        <v>-0.77948724366531019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3">
        <f>SUM(D96:D98)</f>
        <v>676.97</v>
      </c>
      <c r="E99" s="13"/>
      <c r="F99" s="30">
        <f>IF(D$12=0,0,D99/D$12)</f>
        <v>0</v>
      </c>
      <c r="G99" s="13"/>
      <c r="H99" s="33">
        <f>SUM(H96:H98)</f>
        <v>-6431.5904159999991</v>
      </c>
      <c r="I99" s="13"/>
      <c r="J99" s="30">
        <f>IF(H$12=0,0,H99/H$12)</f>
        <v>-0.69893397261464885</v>
      </c>
      <c r="K99" s="16"/>
      <c r="L99" s="33">
        <f>+D99-H99</f>
        <v>7108.5604159999993</v>
      </c>
      <c r="M99" s="16"/>
      <c r="N99" s="30">
        <f>IF(H99=0,0,L99/H99)</f>
        <v>-1.1052570136176409</v>
      </c>
      <c r="O99" s="26"/>
      <c r="P99" s="33">
        <f>SUM(P96:P98)</f>
        <v>-8428.8399999999892</v>
      </c>
      <c r="Q99" s="13"/>
      <c r="R99" s="30">
        <f>IF(P$12=0,0,P99/P$12)</f>
        <v>-0.39549885697769088</v>
      </c>
      <c r="S99" s="13"/>
      <c r="T99" s="33">
        <f>SUM(T96:T98)</f>
        <v>-38223.820426999999</v>
      </c>
      <c r="U99" s="13"/>
      <c r="V99" s="30">
        <f>IF(T$12=0,0,T99/T$12)</f>
        <v>-0.87641171245471639</v>
      </c>
      <c r="W99" s="16"/>
      <c r="X99" s="33">
        <f>+P99-T99</f>
        <v>29794.98042700001</v>
      </c>
      <c r="Y99" s="16"/>
      <c r="Z99" s="30">
        <f>IF(T99=0,0,X99/T99)</f>
        <v>-0.77948724366531019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5">
        <v>44174.679517939818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7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8524.15</v>
      </c>
      <c r="E12" s="4"/>
      <c r="F12" s="12"/>
      <c r="G12" s="4"/>
      <c r="H12" s="4">
        <f>SUM(OSRRefH13x_0)</f>
        <v>13849</v>
      </c>
      <c r="I12" s="4"/>
      <c r="J12" s="12"/>
      <c r="K12" s="4"/>
      <c r="L12" s="4">
        <f t="shared" ref="L12:L33" si="0">+D12-H12</f>
        <v>-5324.85</v>
      </c>
      <c r="M12" s="4"/>
      <c r="N12" s="12">
        <f t="shared" ref="N12:N33" si="1">IF(H12=0,0,L12/H12)</f>
        <v>-0.38449346523214672</v>
      </c>
      <c r="O12" s="10"/>
      <c r="P12" s="4">
        <f>SUM(OSRRefP13x_0)</f>
        <v>1554230.1799999997</v>
      </c>
      <c r="Q12" s="4"/>
      <c r="R12" s="12"/>
      <c r="S12" s="4"/>
      <c r="T12" s="4">
        <f>SUM(OSRRefT13x_0)</f>
        <v>2583685</v>
      </c>
      <c r="U12" s="4"/>
      <c r="V12" s="12"/>
      <c r="W12" s="4"/>
      <c r="X12" s="4">
        <f t="shared" ref="X12:X33" si="2">+P12-T12</f>
        <v>-1029454.8200000003</v>
      </c>
      <c r="Y12" s="4"/>
      <c r="Z12" s="12">
        <f t="shared" ref="Z12:Z33" si="3">IF(T12=0,0,X12/T12)</f>
        <v>-0.39844440014939914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-229.05</f>
        <v>-229.05</v>
      </c>
      <c r="E13" s="2"/>
      <c r="F13" s="22"/>
      <c r="G13" s="2"/>
      <c r="H13" s="2">
        <v>13849</v>
      </c>
      <c r="I13" s="2"/>
      <c r="J13" s="22"/>
      <c r="K13" s="2"/>
      <c r="L13" s="2">
        <f t="shared" si="0"/>
        <v>-14078.05</v>
      </c>
      <c r="M13" s="2"/>
      <c r="N13" s="22">
        <f t="shared" si="1"/>
        <v>-1.0165391002960502</v>
      </c>
      <c r="O13" s="11"/>
      <c r="P13" s="2">
        <f>-6599.87</f>
        <v>-6599.87</v>
      </c>
      <c r="Q13" s="2"/>
      <c r="R13" s="22"/>
      <c r="S13" s="2"/>
      <c r="T13" s="2">
        <v>2583685</v>
      </c>
      <c r="U13" s="2"/>
      <c r="V13" s="22"/>
      <c r="W13" s="2"/>
      <c r="X13" s="2">
        <f t="shared" si="2"/>
        <v>-2590284.87</v>
      </c>
      <c r="Y13" s="2"/>
      <c r="Z13" s="22">
        <f t="shared" si="3"/>
        <v>-1.0025544406535627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--6816.45</f>
        <v>6816.45</v>
      </c>
      <c r="E14" s="2"/>
      <c r="F14" s="22"/>
      <c r="G14" s="2"/>
      <c r="H14" s="2"/>
      <c r="I14" s="2"/>
      <c r="J14" s="22"/>
      <c r="K14" s="2"/>
      <c r="L14" s="2">
        <f t="shared" si="0"/>
        <v>6816.45</v>
      </c>
      <c r="M14" s="2"/>
      <c r="N14" s="22">
        <f t="shared" si="1"/>
        <v>0</v>
      </c>
      <c r="O14" s="11"/>
      <c r="P14" s="2">
        <f>--719144.02</f>
        <v>719144.02</v>
      </c>
      <c r="Q14" s="2"/>
      <c r="R14" s="22"/>
      <c r="S14" s="2"/>
      <c r="T14" s="2"/>
      <c r="U14" s="2"/>
      <c r="V14" s="22"/>
      <c r="W14" s="2"/>
      <c r="X14" s="2">
        <f t="shared" si="2"/>
        <v>719144.02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--1492.1</f>
        <v>1492.1</v>
      </c>
      <c r="E15" s="2"/>
      <c r="F15" s="22"/>
      <c r="G15" s="2"/>
      <c r="H15" s="2"/>
      <c r="I15" s="2"/>
      <c r="J15" s="22"/>
      <c r="K15" s="2"/>
      <c r="L15" s="2">
        <f t="shared" si="0"/>
        <v>1492.1</v>
      </c>
      <c r="M15" s="2"/>
      <c r="N15" s="22">
        <f t="shared" si="1"/>
        <v>0</v>
      </c>
      <c r="O15" s="11"/>
      <c r="P15" s="2">
        <f>--320631.62</f>
        <v>320631.62</v>
      </c>
      <c r="Q15" s="2"/>
      <c r="R15" s="22"/>
      <c r="S15" s="2"/>
      <c r="T15" s="2"/>
      <c r="U15" s="2"/>
      <c r="V15" s="22"/>
      <c r="W15" s="2"/>
      <c r="X15" s="2">
        <f t="shared" si="2"/>
        <v>320631.62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--1333.61</f>
        <v>1333.61</v>
      </c>
      <c r="E21" s="2"/>
      <c r="F21" s="22"/>
      <c r="G21" s="2"/>
      <c r="H21" s="2"/>
      <c r="I21" s="2"/>
      <c r="J21" s="22"/>
      <c r="K21" s="2"/>
      <c r="L21" s="2">
        <f t="shared" si="0"/>
        <v>1333.61</v>
      </c>
      <c r="M21" s="2"/>
      <c r="N21" s="22">
        <f t="shared" si="1"/>
        <v>0</v>
      </c>
      <c r="O21" s="11"/>
      <c r="P21" s="2">
        <f>--165813.42</f>
        <v>165813.42000000001</v>
      </c>
      <c r="Q21" s="2"/>
      <c r="R21" s="22"/>
      <c r="S21" s="2"/>
      <c r="T21" s="2"/>
      <c r="U21" s="2"/>
      <c r="V21" s="22"/>
      <c r="W21" s="2"/>
      <c r="X21" s="2">
        <f t="shared" si="2"/>
        <v>165813.42000000001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--1270.83</f>
        <v>1270.83</v>
      </c>
      <c r="E22" s="2"/>
      <c r="F22" s="22"/>
      <c r="G22" s="2"/>
      <c r="H22" s="2"/>
      <c r="I22" s="2"/>
      <c r="J22" s="22"/>
      <c r="K22" s="2"/>
      <c r="L22" s="2">
        <f t="shared" si="0"/>
        <v>1270.83</v>
      </c>
      <c r="M22" s="2"/>
      <c r="N22" s="22">
        <f t="shared" si="1"/>
        <v>0</v>
      </c>
      <c r="O22" s="11"/>
      <c r="P22" s="2">
        <f>--78935.72</f>
        <v>78935.72</v>
      </c>
      <c r="Q22" s="2"/>
      <c r="R22" s="22"/>
      <c r="S22" s="2"/>
      <c r="T22" s="2"/>
      <c r="U22" s="2"/>
      <c r="V22" s="22"/>
      <c r="W22" s="2"/>
      <c r="X22" s="2">
        <f t="shared" si="2"/>
        <v>78935.72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--320.72</f>
        <v>320.72000000000003</v>
      </c>
      <c r="E23" s="2"/>
      <c r="F23" s="22"/>
      <c r="G23" s="2"/>
      <c r="H23" s="2"/>
      <c r="I23" s="2"/>
      <c r="J23" s="22"/>
      <c r="K23" s="2"/>
      <c r="L23" s="2">
        <f t="shared" si="0"/>
        <v>320.72000000000003</v>
      </c>
      <c r="M23" s="2"/>
      <c r="N23" s="22">
        <f t="shared" si="1"/>
        <v>0</v>
      </c>
      <c r="O23" s="11"/>
      <c r="P23" s="2">
        <f>--33033.19</f>
        <v>33033.19</v>
      </c>
      <c r="Q23" s="2"/>
      <c r="R23" s="22"/>
      <c r="S23" s="2"/>
      <c r="T23" s="2"/>
      <c r="U23" s="2"/>
      <c r="V23" s="22"/>
      <c r="W23" s="2"/>
      <c r="X23" s="2">
        <f t="shared" si="2"/>
        <v>33033.19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--284.97</f>
        <v>284.97000000000003</v>
      </c>
      <c r="Q24" s="2"/>
      <c r="R24" s="22"/>
      <c r="S24" s="2"/>
      <c r="T24" s="2"/>
      <c r="U24" s="2"/>
      <c r="V24" s="22"/>
      <c r="W24" s="2"/>
      <c r="X24" s="2">
        <f t="shared" si="2"/>
        <v>284.97000000000003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--1414.19</f>
        <v>1414.19</v>
      </c>
      <c r="E25" s="2"/>
      <c r="F25" s="22"/>
      <c r="G25" s="2"/>
      <c r="H25" s="2"/>
      <c r="I25" s="2"/>
      <c r="J25" s="22"/>
      <c r="K25" s="2"/>
      <c r="L25" s="2">
        <f t="shared" si="0"/>
        <v>1414.19</v>
      </c>
      <c r="M25" s="2"/>
      <c r="N25" s="22">
        <f t="shared" si="1"/>
        <v>0</v>
      </c>
      <c r="O25" s="11"/>
      <c r="P25" s="2">
        <f>--294889.71</f>
        <v>294889.71000000002</v>
      </c>
      <c r="Q25" s="2"/>
      <c r="R25" s="22"/>
      <c r="S25" s="2"/>
      <c r="T25" s="2"/>
      <c r="U25" s="2"/>
      <c r="V25" s="22"/>
      <c r="W25" s="2"/>
      <c r="X25" s="2">
        <f t="shared" si="2"/>
        <v>294889.71000000002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--630</f>
        <v>630</v>
      </c>
      <c r="E26" s="2"/>
      <c r="F26" s="22"/>
      <c r="G26" s="2"/>
      <c r="H26" s="2"/>
      <c r="I26" s="2"/>
      <c r="J26" s="22"/>
      <c r="K26" s="2"/>
      <c r="L26" s="2">
        <f t="shared" si="0"/>
        <v>630</v>
      </c>
      <c r="M26" s="2"/>
      <c r="N26" s="22">
        <f t="shared" si="1"/>
        <v>0</v>
      </c>
      <c r="O26" s="11"/>
      <c r="P26" s="2">
        <f>--2285.95</f>
        <v>2285.9499999999998</v>
      </c>
      <c r="Q26" s="2"/>
      <c r="R26" s="22"/>
      <c r="S26" s="2"/>
      <c r="T26" s="2"/>
      <c r="U26" s="2"/>
      <c r="V26" s="22"/>
      <c r="W26" s="2"/>
      <c r="X26" s="2">
        <f t="shared" si="2"/>
        <v>2285.9499999999998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--27.8</f>
        <v>27.8</v>
      </c>
      <c r="E27" s="2"/>
      <c r="F27" s="22"/>
      <c r="G27" s="2"/>
      <c r="H27" s="2"/>
      <c r="I27" s="2"/>
      <c r="J27" s="22"/>
      <c r="K27" s="2"/>
      <c r="L27" s="2">
        <f t="shared" si="0"/>
        <v>27.8</v>
      </c>
      <c r="M27" s="2"/>
      <c r="N27" s="22">
        <f t="shared" si="1"/>
        <v>0</v>
      </c>
      <c r="O27" s="11"/>
      <c r="P27" s="2">
        <f>--233.43</f>
        <v>233.43</v>
      </c>
      <c r="Q27" s="2"/>
      <c r="R27" s="22"/>
      <c r="S27" s="2"/>
      <c r="T27" s="2"/>
      <c r="U27" s="2"/>
      <c r="V27" s="22"/>
      <c r="W27" s="2"/>
      <c r="X27" s="2">
        <f t="shared" si="2"/>
        <v>233.43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-1333.42</f>
        <v>-1333.42</v>
      </c>
      <c r="E28" s="2"/>
      <c r="F28" s="22"/>
      <c r="G28" s="2"/>
      <c r="H28" s="2"/>
      <c r="I28" s="2"/>
      <c r="J28" s="22"/>
      <c r="K28" s="2"/>
      <c r="L28" s="2">
        <f t="shared" si="0"/>
        <v>-1333.42</v>
      </c>
      <c r="M28" s="2"/>
      <c r="N28" s="22">
        <f t="shared" si="1"/>
        <v>0</v>
      </c>
      <c r="O28" s="11"/>
      <c r="P28" s="2">
        <f>-35094.66</f>
        <v>-35094.660000000003</v>
      </c>
      <c r="Q28" s="2"/>
      <c r="R28" s="22"/>
      <c r="S28" s="2"/>
      <c r="T28" s="2"/>
      <c r="U28" s="2"/>
      <c r="V28" s="22"/>
      <c r="W28" s="2"/>
      <c r="X28" s="2">
        <f t="shared" si="2"/>
        <v>-35094.660000000003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-3274.35</f>
        <v>-3274.35</v>
      </c>
      <c r="E29" s="2"/>
      <c r="F29" s="22"/>
      <c r="G29" s="2"/>
      <c r="H29" s="2"/>
      <c r="I29" s="2"/>
      <c r="J29" s="22"/>
      <c r="K29" s="2"/>
      <c r="L29" s="2">
        <f t="shared" si="0"/>
        <v>-3274.35</v>
      </c>
      <c r="M29" s="2"/>
      <c r="N29" s="22">
        <f t="shared" si="1"/>
        <v>0</v>
      </c>
      <c r="O29" s="11"/>
      <c r="P29" s="2">
        <f>-13803.35</f>
        <v>-13803.35</v>
      </c>
      <c r="Q29" s="2"/>
      <c r="R29" s="22"/>
      <c r="S29" s="2"/>
      <c r="T29" s="2"/>
      <c r="U29" s="2"/>
      <c r="V29" s="22"/>
      <c r="W29" s="2"/>
      <c r="X29" s="2">
        <f t="shared" si="2"/>
        <v>-13803.35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 t="shared" ref="D30:D31" si="6"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-1630.85</f>
        <v>-1630.85</v>
      </c>
      <c r="Q30" s="2"/>
      <c r="R30" s="22"/>
      <c r="S30" s="2"/>
      <c r="T30" s="2"/>
      <c r="U30" s="2"/>
      <c r="V30" s="22"/>
      <c r="W30" s="2"/>
      <c r="X30" s="2">
        <f t="shared" si="2"/>
        <v>-1630.85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 t="shared" si="6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-2376.17</f>
        <v>-2376.17</v>
      </c>
      <c r="Q31" s="2"/>
      <c r="R31" s="22"/>
      <c r="S31" s="2"/>
      <c r="T31" s="2"/>
      <c r="U31" s="2"/>
      <c r="V31" s="22"/>
      <c r="W31" s="2"/>
      <c r="X31" s="2">
        <f t="shared" si="2"/>
        <v>-2376.17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>-76.05</f>
        <v>-76.05</v>
      </c>
      <c r="E32" s="2"/>
      <c r="F32" s="22"/>
      <c r="G32" s="2"/>
      <c r="H32" s="2"/>
      <c r="I32" s="2"/>
      <c r="J32" s="22"/>
      <c r="K32" s="2"/>
      <c r="L32" s="2">
        <f t="shared" si="0"/>
        <v>-76.05</v>
      </c>
      <c r="M32" s="2"/>
      <c r="N32" s="22">
        <f t="shared" si="1"/>
        <v>0</v>
      </c>
      <c r="O32" s="11"/>
      <c r="P32" s="2">
        <f>-1392.85</f>
        <v>-1392.85</v>
      </c>
      <c r="Q32" s="2"/>
      <c r="R32" s="22"/>
      <c r="S32" s="2"/>
      <c r="T32" s="2"/>
      <c r="U32" s="2"/>
      <c r="V32" s="22"/>
      <c r="W32" s="2"/>
      <c r="X32" s="2">
        <f t="shared" si="2"/>
        <v>-1392.85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>-176.43</f>
        <v>-176.43</v>
      </c>
      <c r="E33" s="2"/>
      <c r="F33" s="22"/>
      <c r="G33" s="2"/>
      <c r="H33" s="2"/>
      <c r="I33" s="2"/>
      <c r="J33" s="22"/>
      <c r="K33" s="2"/>
      <c r="L33" s="2">
        <f t="shared" si="0"/>
        <v>-176.43</v>
      </c>
      <c r="M33" s="2"/>
      <c r="N33" s="22">
        <f t="shared" si="1"/>
        <v>0</v>
      </c>
      <c r="O33" s="11"/>
      <c r="P33" s="2">
        <f>-14278.54</f>
        <v>-14278.54</v>
      </c>
      <c r="Q33" s="2"/>
      <c r="R33" s="22"/>
      <c r="S33" s="2"/>
      <c r="T33" s="2"/>
      <c r="U33" s="2"/>
      <c r="V33" s="22"/>
      <c r="W33" s="2"/>
      <c r="X33" s="2">
        <f t="shared" si="2"/>
        <v>-14278.54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6522.4900000000307</v>
      </c>
      <c r="E35" s="4"/>
      <c r="F35" s="12">
        <f t="shared" ref="F35:F50" si="7">IF(D$12=0,0,D35/D$12)</f>
        <v>0.76517775965932455</v>
      </c>
      <c r="G35" s="4"/>
      <c r="H35" s="4">
        <f>SUM(OSRRefH16x_0)</f>
        <v>10102</v>
      </c>
      <c r="I35" s="4"/>
      <c r="J35" s="12">
        <f t="shared" ref="J35:J50" si="8">IF(H$12=0,0,H35/H$12)</f>
        <v>0.72943894866055314</v>
      </c>
      <c r="K35" s="4"/>
      <c r="L35" s="4">
        <f t="shared" ref="L35:L50" si="9">+D35-H35</f>
        <v>-3579.5099999999693</v>
      </c>
      <c r="M35" s="4"/>
      <c r="N35" s="12">
        <f t="shared" ref="N35:N50" si="10">IF(H35=0,0,L35/H35)</f>
        <v>-0.35433676499702726</v>
      </c>
      <c r="O35" s="10"/>
      <c r="P35" s="4">
        <f>SUM(OSRRefP16x_0)</f>
        <v>1113239.83</v>
      </c>
      <c r="Q35" s="4"/>
      <c r="R35" s="12">
        <f t="shared" ref="R35:R50" si="11">IF(P$12=0,0,P35/P$12)</f>
        <v>0.71626445318414822</v>
      </c>
      <c r="S35" s="4"/>
      <c r="T35" s="4">
        <f>SUM(OSRRefT16x_0)</f>
        <v>1881698</v>
      </c>
      <c r="U35" s="4"/>
      <c r="V35" s="12">
        <f t="shared" ref="V35:V50" si="12">IF(T$12=0,0,T35/T$12)</f>
        <v>0.7283000830209565</v>
      </c>
      <c r="W35" s="4"/>
      <c r="X35" s="4">
        <f t="shared" ref="X35:X50" si="13">+P35-T35</f>
        <v>-768458.16999999993</v>
      </c>
      <c r="Y35" s="4"/>
      <c r="Z35" s="12">
        <f t="shared" ref="Z35:Z50" si="14">IF(T35=0,0,X35/T35)</f>
        <v>-0.40838549544081992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7"/>
        <v>0</v>
      </c>
      <c r="G36" s="2"/>
      <c r="H36" s="2">
        <v>10102</v>
      </c>
      <c r="I36" s="2"/>
      <c r="J36" s="22">
        <f t="shared" si="8"/>
        <v>0.72943894866055314</v>
      </c>
      <c r="K36" s="2"/>
      <c r="L36" s="2">
        <f t="shared" si="9"/>
        <v>-10102</v>
      </c>
      <c r="M36" s="2"/>
      <c r="N36" s="22">
        <f t="shared" si="10"/>
        <v>-1</v>
      </c>
      <c r="O36" s="11"/>
      <c r="P36" s="2"/>
      <c r="Q36" s="2"/>
      <c r="R36" s="22">
        <f t="shared" si="11"/>
        <v>0</v>
      </c>
      <c r="S36" s="2"/>
      <c r="T36" s="2">
        <v>1881698</v>
      </c>
      <c r="U36" s="2"/>
      <c r="V36" s="22">
        <f t="shared" si="12"/>
        <v>0.7283000830209565</v>
      </c>
      <c r="W36" s="2"/>
      <c r="X36" s="2">
        <f t="shared" si="13"/>
        <v>-1881698</v>
      </c>
      <c r="Y36" s="2"/>
      <c r="Z36" s="22">
        <f t="shared" si="14"/>
        <v>-1</v>
      </c>
    </row>
    <row r="37" spans="1:26" s="24" customFormat="1" hidden="1" outlineLevel="1" x14ac:dyDescent="0.25">
      <c r="A37" s="51"/>
      <c r="B37" s="11" t="str">
        <f>CONCATENATE("          ", "5001", " - ", "PURCHASES @ COST-NEW TEXT")</f>
        <v xml:space="preserve">          5001 - PURCHASES @ COST-NEW TEXT</v>
      </c>
      <c r="C37" s="11"/>
      <c r="D37" s="2">
        <v>-108601.35</v>
      </c>
      <c r="E37" s="2"/>
      <c r="F37" s="22">
        <f t="shared" si="7"/>
        <v>-12.740431597285362</v>
      </c>
      <c r="G37" s="2"/>
      <c r="H37" s="2"/>
      <c r="I37" s="2"/>
      <c r="J37" s="22">
        <f t="shared" si="8"/>
        <v>0</v>
      </c>
      <c r="K37" s="2"/>
      <c r="L37" s="2">
        <f t="shared" si="9"/>
        <v>-108601.35</v>
      </c>
      <c r="M37" s="2"/>
      <c r="N37" s="22">
        <f t="shared" si="10"/>
        <v>0</v>
      </c>
      <c r="O37" s="11"/>
      <c r="P37" s="2">
        <v>1240595.48</v>
      </c>
      <c r="Q37" s="2"/>
      <c r="R37" s="22">
        <f t="shared" si="11"/>
        <v>0.79820575868627142</v>
      </c>
      <c r="S37" s="2"/>
      <c r="T37" s="2"/>
      <c r="U37" s="2"/>
      <c r="V37" s="22">
        <f t="shared" si="12"/>
        <v>0</v>
      </c>
      <c r="W37" s="2"/>
      <c r="X37" s="2">
        <f t="shared" si="13"/>
        <v>1240595.48</v>
      </c>
      <c r="Y37" s="2"/>
      <c r="Z37" s="22">
        <f t="shared" si="14"/>
        <v>0</v>
      </c>
    </row>
    <row r="38" spans="1:26" s="24" customFormat="1" hidden="1" outlineLevel="1" x14ac:dyDescent="0.25">
      <c r="A38" s="51"/>
      <c r="B38" s="11" t="str">
        <f>CONCATENATE("          ", "5002", " - ", "PURCHASES @ COST-USED TEXT")</f>
        <v xml:space="preserve">          5002 - PURCHASES @ COST-USED TEXT</v>
      </c>
      <c r="C38" s="11"/>
      <c r="D38" s="2">
        <v>-208829.28</v>
      </c>
      <c r="E38" s="2"/>
      <c r="F38" s="22">
        <f t="shared" si="7"/>
        <v>-24.49854589607175</v>
      </c>
      <c r="G38" s="2"/>
      <c r="H38" s="2"/>
      <c r="I38" s="2"/>
      <c r="J38" s="22">
        <f t="shared" si="8"/>
        <v>0</v>
      </c>
      <c r="K38" s="2"/>
      <c r="L38" s="2">
        <f t="shared" si="9"/>
        <v>-208829.28</v>
      </c>
      <c r="M38" s="2"/>
      <c r="N38" s="22">
        <f t="shared" si="10"/>
        <v>0</v>
      </c>
      <c r="O38" s="11"/>
      <c r="P38" s="2">
        <v>94234.05</v>
      </c>
      <c r="Q38" s="2"/>
      <c r="R38" s="22">
        <f t="shared" si="11"/>
        <v>6.0630691137396407E-2</v>
      </c>
      <c r="S38" s="2"/>
      <c r="T38" s="2"/>
      <c r="U38" s="2"/>
      <c r="V38" s="22">
        <f t="shared" si="12"/>
        <v>0</v>
      </c>
      <c r="W38" s="2"/>
      <c r="X38" s="2">
        <f t="shared" si="13"/>
        <v>94234.05</v>
      </c>
      <c r="Y38" s="2"/>
      <c r="Z38" s="22">
        <f t="shared" si="14"/>
        <v>0</v>
      </c>
    </row>
    <row r="39" spans="1:26" s="24" customFormat="1" hidden="1" outlineLevel="1" x14ac:dyDescent="0.25">
      <c r="A39" s="51"/>
      <c r="B39" s="11" t="str">
        <f>CONCATENATE("          ", "5003", " - ", "PURCHASES @ COST-RENTAL TEXT")</f>
        <v xml:space="preserve">          5003 - PURCHASES @ COST-RENTAL TEXT</v>
      </c>
      <c r="C39" s="11"/>
      <c r="D39" s="2">
        <v>517.92999999999995</v>
      </c>
      <c r="E39" s="2"/>
      <c r="F39" s="22">
        <f t="shared" si="7"/>
        <v>6.0760310412181856E-2</v>
      </c>
      <c r="G39" s="2"/>
      <c r="H39" s="2"/>
      <c r="I39" s="2"/>
      <c r="J39" s="22">
        <f t="shared" si="8"/>
        <v>0</v>
      </c>
      <c r="K39" s="2"/>
      <c r="L39" s="2">
        <f t="shared" si="9"/>
        <v>517.92999999999995</v>
      </c>
      <c r="M39" s="2"/>
      <c r="N39" s="22">
        <f t="shared" si="10"/>
        <v>0</v>
      </c>
      <c r="O39" s="11"/>
      <c r="P39" s="2">
        <v>32.520000000000003</v>
      </c>
      <c r="Q39" s="2"/>
      <c r="R39" s="22">
        <f t="shared" si="11"/>
        <v>2.0923541711176919E-5</v>
      </c>
      <c r="S39" s="2"/>
      <c r="T39" s="2"/>
      <c r="U39" s="2"/>
      <c r="V39" s="22">
        <f t="shared" si="12"/>
        <v>0</v>
      </c>
      <c r="W39" s="2"/>
      <c r="X39" s="2">
        <f t="shared" si="13"/>
        <v>32.520000000000003</v>
      </c>
      <c r="Y39" s="2"/>
      <c r="Z39" s="22">
        <f t="shared" si="14"/>
        <v>0</v>
      </c>
    </row>
    <row r="40" spans="1:26" s="24" customFormat="1" hidden="1" outlineLevel="1" x14ac:dyDescent="0.25">
      <c r="A40" s="51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1418.58</v>
      </c>
      <c r="E40" s="2"/>
      <c r="F40" s="22">
        <f t="shared" si="7"/>
        <v>0.16641893913176092</v>
      </c>
      <c r="G40" s="2"/>
      <c r="H40" s="2"/>
      <c r="I40" s="2"/>
      <c r="J40" s="22">
        <f t="shared" si="8"/>
        <v>0</v>
      </c>
      <c r="K40" s="2"/>
      <c r="L40" s="2">
        <f t="shared" si="9"/>
        <v>1418.58</v>
      </c>
      <c r="M40" s="2"/>
      <c r="N40" s="22">
        <f t="shared" si="10"/>
        <v>0</v>
      </c>
      <c r="O40" s="11"/>
      <c r="P40" s="2">
        <v>196938.11000000002</v>
      </c>
      <c r="Q40" s="2"/>
      <c r="R40" s="22">
        <f t="shared" si="11"/>
        <v>0.12671103195280897</v>
      </c>
      <c r="S40" s="2"/>
      <c r="T40" s="2"/>
      <c r="U40" s="2"/>
      <c r="V40" s="22">
        <f t="shared" si="12"/>
        <v>0</v>
      </c>
      <c r="W40" s="2"/>
      <c r="X40" s="2">
        <f t="shared" si="13"/>
        <v>196938.11000000002</v>
      </c>
      <c r="Y40" s="2"/>
      <c r="Z40" s="22">
        <f t="shared" si="14"/>
        <v>0</v>
      </c>
    </row>
    <row r="41" spans="1:26" s="24" customFormat="1" hidden="1" outlineLevel="1" x14ac:dyDescent="0.25">
      <c r="A41" s="51"/>
      <c r="B41" s="11" t="str">
        <f>CONCATENATE("          ", "5011", " - ", "PURCHASES @ COST-NO VALUE TEXT")</f>
        <v xml:space="preserve">          5011 - PURCHASES @ COST-NO VALUE TEXT</v>
      </c>
      <c r="C41" s="11"/>
      <c r="D41" s="2"/>
      <c r="E41" s="2"/>
      <c r="F41" s="22">
        <f t="shared" si="7"/>
        <v>0</v>
      </c>
      <c r="G41" s="2"/>
      <c r="H41" s="2"/>
      <c r="I41" s="2"/>
      <c r="J41" s="22">
        <f t="shared" si="8"/>
        <v>0</v>
      </c>
      <c r="K41" s="2"/>
      <c r="L41" s="2">
        <f t="shared" si="9"/>
        <v>0</v>
      </c>
      <c r="M41" s="2"/>
      <c r="N41" s="22">
        <f t="shared" si="10"/>
        <v>0</v>
      </c>
      <c r="O41" s="11"/>
      <c r="P41" s="2">
        <v>67.17</v>
      </c>
      <c r="Q41" s="2"/>
      <c r="R41" s="22">
        <f t="shared" si="11"/>
        <v>4.3217536800115422E-5</v>
      </c>
      <c r="S41" s="2"/>
      <c r="T41" s="2"/>
      <c r="U41" s="2"/>
      <c r="V41" s="22">
        <f t="shared" si="12"/>
        <v>0</v>
      </c>
      <c r="W41" s="2"/>
      <c r="X41" s="2">
        <f t="shared" si="13"/>
        <v>67.17</v>
      </c>
      <c r="Y41" s="2"/>
      <c r="Z41" s="22">
        <f t="shared" si="14"/>
        <v>0</v>
      </c>
    </row>
    <row r="42" spans="1:26" s="24" customFormat="1" hidden="1" outlineLevel="1" x14ac:dyDescent="0.25">
      <c r="A42" s="51"/>
      <c r="B42" s="11" t="str">
        <f>CONCATENATE("          ", "5013", " - ", "PURCHASES @ COST-TRADE BOOKS")</f>
        <v xml:space="preserve">          5013 - PURCHASES @ COST-TRADE BOOKS</v>
      </c>
      <c r="C42" s="11"/>
      <c r="D42" s="2">
        <v>611.1</v>
      </c>
      <c r="E42" s="2"/>
      <c r="F42" s="22">
        <f t="shared" si="7"/>
        <v>7.1690432477138494E-2</v>
      </c>
      <c r="G42" s="2"/>
      <c r="H42" s="2"/>
      <c r="I42" s="2"/>
      <c r="J42" s="22">
        <f t="shared" si="8"/>
        <v>0</v>
      </c>
      <c r="K42" s="2"/>
      <c r="L42" s="2">
        <f t="shared" si="9"/>
        <v>611.1</v>
      </c>
      <c r="M42" s="2"/>
      <c r="N42" s="22">
        <f t="shared" si="10"/>
        <v>0</v>
      </c>
      <c r="O42" s="11"/>
      <c r="P42" s="2">
        <v>2094.7399999999998</v>
      </c>
      <c r="Q42" s="2"/>
      <c r="R42" s="22">
        <f t="shared" si="11"/>
        <v>1.3477669054142291E-3</v>
      </c>
      <c r="S42" s="2"/>
      <c r="T42" s="2"/>
      <c r="U42" s="2"/>
      <c r="V42" s="22">
        <f t="shared" si="12"/>
        <v>0</v>
      </c>
      <c r="W42" s="2"/>
      <c r="X42" s="2">
        <f t="shared" si="13"/>
        <v>2094.7399999999998</v>
      </c>
      <c r="Y42" s="2"/>
      <c r="Z42" s="22">
        <f t="shared" si="14"/>
        <v>0</v>
      </c>
    </row>
    <row r="43" spans="1:26" s="24" customFormat="1" hidden="1" outlineLevel="1" x14ac:dyDescent="0.25">
      <c r="A43" s="51"/>
      <c r="B43" s="11" t="str">
        <f>CONCATENATE("          ", "5014", " - ", "PURCHASES @ COST-REMAINDERS")</f>
        <v xml:space="preserve">          5014 - PURCHASES @ COST-REMAINDERS</v>
      </c>
      <c r="C43" s="11"/>
      <c r="D43" s="2"/>
      <c r="E43" s="2"/>
      <c r="F43" s="22">
        <f t="shared" si="7"/>
        <v>0</v>
      </c>
      <c r="G43" s="2"/>
      <c r="H43" s="2"/>
      <c r="I43" s="2"/>
      <c r="J43" s="22">
        <f t="shared" si="8"/>
        <v>0</v>
      </c>
      <c r="K43" s="2"/>
      <c r="L43" s="2">
        <f t="shared" si="9"/>
        <v>0</v>
      </c>
      <c r="M43" s="2"/>
      <c r="N43" s="22">
        <f t="shared" si="10"/>
        <v>0</v>
      </c>
      <c r="O43" s="11"/>
      <c r="P43" s="2">
        <v>90.41</v>
      </c>
      <c r="Q43" s="2"/>
      <c r="R43" s="22">
        <f t="shared" si="11"/>
        <v>5.8170276940575182E-5</v>
      </c>
      <c r="S43" s="2"/>
      <c r="T43" s="2"/>
      <c r="U43" s="2"/>
      <c r="V43" s="22">
        <f t="shared" si="12"/>
        <v>0</v>
      </c>
      <c r="W43" s="2"/>
      <c r="X43" s="2">
        <f t="shared" si="13"/>
        <v>90.41</v>
      </c>
      <c r="Y43" s="2"/>
      <c r="Z43" s="22">
        <f t="shared" si="14"/>
        <v>0</v>
      </c>
    </row>
    <row r="44" spans="1:26" s="24" customFormat="1" hidden="1" outlineLevel="1" x14ac:dyDescent="0.25">
      <c r="A44" s="51"/>
      <c r="B44" s="11" t="str">
        <f>CONCATENATE("          ", "5018", " - ", "PURCHASES @ COST-STUDY GUIDES")</f>
        <v xml:space="preserve">          5018 - PURCHASES @ COST-STUDY GUIDES</v>
      </c>
      <c r="C44" s="11"/>
      <c r="D44" s="2">
        <v>106.34</v>
      </c>
      <c r="E44" s="2"/>
      <c r="F44" s="22">
        <f t="shared" si="7"/>
        <v>1.2475144149270015E-2</v>
      </c>
      <c r="G44" s="2"/>
      <c r="H44" s="2"/>
      <c r="I44" s="2"/>
      <c r="J44" s="22">
        <f t="shared" si="8"/>
        <v>0</v>
      </c>
      <c r="K44" s="2"/>
      <c r="L44" s="2">
        <f t="shared" si="9"/>
        <v>106.34</v>
      </c>
      <c r="M44" s="2"/>
      <c r="N44" s="22">
        <f t="shared" si="10"/>
        <v>0</v>
      </c>
      <c r="O44" s="11"/>
      <c r="P44" s="2">
        <v>106.34</v>
      </c>
      <c r="Q44" s="2"/>
      <c r="R44" s="22">
        <f t="shared" si="11"/>
        <v>6.8419724033411849E-5</v>
      </c>
      <c r="S44" s="2"/>
      <c r="T44" s="2"/>
      <c r="U44" s="2"/>
      <c r="V44" s="22">
        <f t="shared" si="12"/>
        <v>0</v>
      </c>
      <c r="W44" s="2"/>
      <c r="X44" s="2">
        <f t="shared" si="13"/>
        <v>106.34</v>
      </c>
      <c r="Y44" s="2"/>
      <c r="Z44" s="22">
        <f t="shared" si="14"/>
        <v>0</v>
      </c>
    </row>
    <row r="45" spans="1:26" s="24" customFormat="1" hidden="1" outlineLevel="1" x14ac:dyDescent="0.25">
      <c r="A45" s="51"/>
      <c r="B45" s="11" t="str">
        <f>CONCATENATE("          ", "5200", " - ", "PURCHASES OFFSET")</f>
        <v xml:space="preserve">          5200 - PURCHASES OFFSET</v>
      </c>
      <c r="C45" s="11"/>
      <c r="D45" s="2">
        <v>313747.15000000002</v>
      </c>
      <c r="E45" s="2"/>
      <c r="F45" s="22">
        <f t="shared" si="7"/>
        <v>36.806854642398363</v>
      </c>
      <c r="G45" s="2"/>
      <c r="H45" s="2"/>
      <c r="I45" s="2"/>
      <c r="J45" s="22">
        <f t="shared" si="8"/>
        <v>0</v>
      </c>
      <c r="K45" s="2"/>
      <c r="L45" s="2">
        <f t="shared" si="9"/>
        <v>313747.15000000002</v>
      </c>
      <c r="M45" s="2"/>
      <c r="N45" s="22">
        <f t="shared" si="10"/>
        <v>0</v>
      </c>
      <c r="O45" s="11"/>
      <c r="P45" s="2">
        <v>-1236227.33</v>
      </c>
      <c r="Q45" s="2"/>
      <c r="R45" s="22">
        <f t="shared" si="11"/>
        <v>-0.79539526764304647</v>
      </c>
      <c r="S45" s="2"/>
      <c r="T45" s="2"/>
      <c r="U45" s="2"/>
      <c r="V45" s="22">
        <f t="shared" si="12"/>
        <v>0</v>
      </c>
      <c r="W45" s="2"/>
      <c r="X45" s="2">
        <f t="shared" si="13"/>
        <v>-1236227.33</v>
      </c>
      <c r="Y45" s="2"/>
      <c r="Z45" s="22">
        <f t="shared" si="14"/>
        <v>0</v>
      </c>
    </row>
    <row r="46" spans="1:26" s="24" customFormat="1" hidden="1" outlineLevel="1" x14ac:dyDescent="0.25">
      <c r="A46" s="51"/>
      <c r="B46" s="11" t="str">
        <f>CONCATENATE("          ", "5300", " - ", "COG$ OFFSET")</f>
        <v xml:space="preserve">          5300 - COG$ OFFSET</v>
      </c>
      <c r="C46" s="11"/>
      <c r="D46" s="2">
        <v>6147</v>
      </c>
      <c r="E46" s="2"/>
      <c r="F46" s="22">
        <f t="shared" si="7"/>
        <v>0.72112761976267437</v>
      </c>
      <c r="G46" s="2"/>
      <c r="H46" s="2"/>
      <c r="I46" s="2"/>
      <c r="J46" s="22">
        <f t="shared" si="8"/>
        <v>0</v>
      </c>
      <c r="K46" s="2"/>
      <c r="L46" s="2">
        <f t="shared" si="9"/>
        <v>6147</v>
      </c>
      <c r="M46" s="2"/>
      <c r="N46" s="22">
        <f t="shared" si="10"/>
        <v>0</v>
      </c>
      <c r="O46" s="11"/>
      <c r="P46" s="2">
        <v>769078</v>
      </c>
      <c r="Q46" s="2"/>
      <c r="R46" s="22">
        <f t="shared" si="11"/>
        <v>0.49482889336250063</v>
      </c>
      <c r="S46" s="2"/>
      <c r="T46" s="2"/>
      <c r="U46" s="2"/>
      <c r="V46" s="22">
        <f t="shared" si="12"/>
        <v>0</v>
      </c>
      <c r="W46" s="2"/>
      <c r="X46" s="2">
        <f t="shared" si="13"/>
        <v>769078</v>
      </c>
      <c r="Y46" s="2"/>
      <c r="Z46" s="22">
        <f t="shared" si="14"/>
        <v>0</v>
      </c>
    </row>
    <row r="47" spans="1:26" s="24" customFormat="1" hidden="1" outlineLevel="1" x14ac:dyDescent="0.25">
      <c r="A47" s="51"/>
      <c r="B47" s="11" t="str">
        <f>CONCATENATE("          ", "5501", " - ", "FREIGHT-IN-NEW TEXT")</f>
        <v xml:space="preserve">          5501 - FREIGHT-IN-NEW TEXT</v>
      </c>
      <c r="C47" s="11"/>
      <c r="D47" s="2">
        <v>990.19</v>
      </c>
      <c r="E47" s="2"/>
      <c r="F47" s="22">
        <f t="shared" si="7"/>
        <v>0.11616290187291403</v>
      </c>
      <c r="G47" s="2"/>
      <c r="H47" s="2"/>
      <c r="I47" s="2"/>
      <c r="J47" s="22">
        <f t="shared" si="8"/>
        <v>0</v>
      </c>
      <c r="K47" s="2"/>
      <c r="L47" s="2">
        <f t="shared" si="9"/>
        <v>990.19</v>
      </c>
      <c r="M47" s="2"/>
      <c r="N47" s="22">
        <f t="shared" si="10"/>
        <v>0</v>
      </c>
      <c r="O47" s="11"/>
      <c r="P47" s="2">
        <v>35048.81</v>
      </c>
      <c r="Q47" s="2"/>
      <c r="R47" s="22">
        <f t="shared" si="11"/>
        <v>2.2550591573250754E-2</v>
      </c>
      <c r="S47" s="2"/>
      <c r="T47" s="2"/>
      <c r="U47" s="2"/>
      <c r="V47" s="22">
        <f t="shared" si="12"/>
        <v>0</v>
      </c>
      <c r="W47" s="2"/>
      <c r="X47" s="2">
        <f t="shared" si="13"/>
        <v>35048.81</v>
      </c>
      <c r="Y47" s="2"/>
      <c r="Z47" s="22">
        <f t="shared" si="14"/>
        <v>0</v>
      </c>
    </row>
    <row r="48" spans="1:26" s="24" customFormat="1" hidden="1" outlineLevel="1" x14ac:dyDescent="0.25">
      <c r="A48" s="51"/>
      <c r="B48" s="11" t="str">
        <f>CONCATENATE("          ", "5502", " - ", "FREIGHT-IN-USED TEXT")</f>
        <v xml:space="preserve">          5502 - FREIGHT-IN-USED TEXT</v>
      </c>
      <c r="C48" s="11"/>
      <c r="D48" s="2">
        <v>388.37</v>
      </c>
      <c r="E48" s="2"/>
      <c r="F48" s="22">
        <f t="shared" si="7"/>
        <v>4.5561140993530147E-2</v>
      </c>
      <c r="G48" s="2"/>
      <c r="H48" s="2"/>
      <c r="I48" s="2"/>
      <c r="J48" s="22">
        <f t="shared" si="8"/>
        <v>0</v>
      </c>
      <c r="K48" s="2"/>
      <c r="L48" s="2">
        <f t="shared" si="9"/>
        <v>388.37</v>
      </c>
      <c r="M48" s="2"/>
      <c r="N48" s="22">
        <f t="shared" si="10"/>
        <v>0</v>
      </c>
      <c r="O48" s="11"/>
      <c r="P48" s="2">
        <v>11133.09</v>
      </c>
      <c r="Q48" s="2"/>
      <c r="R48" s="22">
        <f t="shared" si="11"/>
        <v>7.1630895753163164E-3</v>
      </c>
      <c r="S48" s="2"/>
      <c r="T48" s="2"/>
      <c r="U48" s="2"/>
      <c r="V48" s="22">
        <f t="shared" si="12"/>
        <v>0</v>
      </c>
      <c r="W48" s="2"/>
      <c r="X48" s="2">
        <f t="shared" si="13"/>
        <v>11133.09</v>
      </c>
      <c r="Y48" s="2"/>
      <c r="Z48" s="22">
        <f t="shared" si="14"/>
        <v>0</v>
      </c>
    </row>
    <row r="49" spans="1:26" s="24" customFormat="1" hidden="1" outlineLevel="1" x14ac:dyDescent="0.25">
      <c r="A49" s="51"/>
      <c r="B49" s="11" t="str">
        <f>CONCATENATE("          ", "5504", " - ", "FREIGHT-IN-DIGITAL TEXT")</f>
        <v xml:space="preserve">          5504 - FREIGHT-IN-DIGITAL TEXT</v>
      </c>
      <c r="C49" s="11"/>
      <c r="D49" s="2"/>
      <c r="E49" s="2"/>
      <c r="F49" s="22">
        <f t="shared" si="7"/>
        <v>0</v>
      </c>
      <c r="G49" s="2"/>
      <c r="H49" s="2"/>
      <c r="I49" s="2"/>
      <c r="J49" s="22">
        <f t="shared" si="8"/>
        <v>0</v>
      </c>
      <c r="K49" s="2"/>
      <c r="L49" s="2">
        <f t="shared" si="9"/>
        <v>0</v>
      </c>
      <c r="M49" s="2"/>
      <c r="N49" s="22">
        <f t="shared" si="10"/>
        <v>0</v>
      </c>
      <c r="O49" s="11"/>
      <c r="P49" s="2">
        <v>21.98</v>
      </c>
      <c r="Q49" s="2"/>
      <c r="R49" s="22">
        <f t="shared" si="11"/>
        <v>1.414204940995291E-5</v>
      </c>
      <c r="S49" s="2"/>
      <c r="T49" s="2"/>
      <c r="U49" s="2"/>
      <c r="V49" s="22">
        <f t="shared" si="12"/>
        <v>0</v>
      </c>
      <c r="W49" s="2"/>
      <c r="X49" s="2">
        <f t="shared" si="13"/>
        <v>21.98</v>
      </c>
      <c r="Y49" s="2"/>
      <c r="Z49" s="22">
        <f t="shared" si="14"/>
        <v>0</v>
      </c>
    </row>
    <row r="50" spans="1:26" s="24" customFormat="1" hidden="1" outlineLevel="1" x14ac:dyDescent="0.25">
      <c r="A50" s="51"/>
      <c r="B50" s="11" t="str">
        <f>CONCATENATE("          ", "5513", " - ", "FREIGHT-IN-TRADE BOOKS")</f>
        <v xml:space="preserve">          5513 - FREIGHT-IN-TRADE BOOKS</v>
      </c>
      <c r="C50" s="11"/>
      <c r="D50" s="2">
        <v>26.46</v>
      </c>
      <c r="E50" s="2"/>
      <c r="F50" s="22">
        <f t="shared" si="7"/>
        <v>3.1041218185977491E-3</v>
      </c>
      <c r="G50" s="2"/>
      <c r="H50" s="2"/>
      <c r="I50" s="2"/>
      <c r="J50" s="22">
        <f t="shared" si="8"/>
        <v>0</v>
      </c>
      <c r="K50" s="2"/>
      <c r="L50" s="2">
        <f t="shared" si="9"/>
        <v>26.46</v>
      </c>
      <c r="M50" s="2"/>
      <c r="N50" s="22">
        <f t="shared" si="10"/>
        <v>0</v>
      </c>
      <c r="O50" s="11"/>
      <c r="P50" s="2">
        <v>26.46</v>
      </c>
      <c r="Q50" s="2"/>
      <c r="R50" s="22">
        <f t="shared" si="11"/>
        <v>1.7024505340643949E-5</v>
      </c>
      <c r="S50" s="2"/>
      <c r="T50" s="2"/>
      <c r="U50" s="2"/>
      <c r="V50" s="22">
        <f t="shared" si="12"/>
        <v>0</v>
      </c>
      <c r="W50" s="2"/>
      <c r="X50" s="2">
        <f t="shared" si="13"/>
        <v>26.46</v>
      </c>
      <c r="Y50" s="2"/>
      <c r="Z50" s="22">
        <f t="shared" si="14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5" t="s">
        <v>6</v>
      </c>
      <c r="C52" s="25"/>
      <c r="D52" s="21">
        <f>D12-D35</f>
        <v>2001.6599999999689</v>
      </c>
      <c r="E52" s="13"/>
      <c r="F52" s="20">
        <f>IF(D$12=0,0,D52/D$12)</f>
        <v>0.2348222403406755</v>
      </c>
      <c r="G52" s="13"/>
      <c r="H52" s="21">
        <f>H12-H35</f>
        <v>3747</v>
      </c>
      <c r="I52" s="13"/>
      <c r="J52" s="20">
        <f>IF(H$12=0,0,H52/H$12)</f>
        <v>0.27056105133944691</v>
      </c>
      <c r="K52" s="16"/>
      <c r="L52" s="21">
        <f>+D52-H52</f>
        <v>-1745.3400000000311</v>
      </c>
      <c r="M52" s="16"/>
      <c r="N52" s="20">
        <f>IF(H52=0,0,L52/H52)</f>
        <v>-0.46579663730985615</v>
      </c>
      <c r="O52" s="26"/>
      <c r="P52" s="21">
        <f>P12-P35</f>
        <v>440990.34999999963</v>
      </c>
      <c r="Q52" s="13"/>
      <c r="R52" s="20">
        <f>IF(P$12=0,0,P52/P$12)</f>
        <v>0.28373554681585178</v>
      </c>
      <c r="S52" s="13"/>
      <c r="T52" s="21">
        <f>T12-T35</f>
        <v>701987</v>
      </c>
      <c r="U52" s="13"/>
      <c r="V52" s="20">
        <f>IF(T$12=0,0,T52/T$12)</f>
        <v>0.2716999169790435</v>
      </c>
      <c r="W52" s="16"/>
      <c r="X52" s="21">
        <f>+P52-T52</f>
        <v>-260996.65000000037</v>
      </c>
      <c r="Y52" s="16"/>
      <c r="Z52" s="20">
        <f>IF(T52=0,0,X52/T52)</f>
        <v>-0.37179698484444923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9</v>
      </c>
      <c r="C54" s="10"/>
      <c r="D54" s="19">
        <f>SUM(OSRRefD22x_0)</f>
        <v>43215.05000000001</v>
      </c>
      <c r="E54" s="19"/>
      <c r="F54" s="35">
        <f t="shared" ref="F54:F65" si="15">IF(D$12=0,0,D54/D$12)</f>
        <v>5.0697195614812047</v>
      </c>
      <c r="G54" s="19"/>
      <c r="H54" s="19">
        <f>SUM(OSRRefH22x_0)</f>
        <v>43080.671973861528</v>
      </c>
      <c r="I54" s="19"/>
      <c r="J54" s="35">
        <f t="shared" ref="J54:J65" si="16">IF(H$12=0,0,H54/H$12)</f>
        <v>3.1107424343895969</v>
      </c>
      <c r="K54" s="4"/>
      <c r="L54" s="19">
        <f t="shared" ref="L54:L65" si="17">+D54-H54</f>
        <v>134.3780261384818</v>
      </c>
      <c r="M54" s="4"/>
      <c r="N54" s="35">
        <f t="shared" ref="N54:N65" si="18">IF(H54=0,0,L54/H54)</f>
        <v>3.1192184332689472E-3</v>
      </c>
      <c r="O54" s="10"/>
      <c r="P54" s="19">
        <f>SUM(OSRRefP22x_0)</f>
        <v>212932.37000000002</v>
      </c>
      <c r="Q54" s="19"/>
      <c r="R54" s="35">
        <f t="shared" ref="R54:R65" si="19">IF(P$12=0,0,P54/P$12)</f>
        <v>0.1370018242729015</v>
      </c>
      <c r="S54" s="19"/>
      <c r="T54" s="19">
        <f>SUM(OSRRefT22x_0)</f>
        <v>263041.72410623846</v>
      </c>
      <c r="U54" s="19"/>
      <c r="V54" s="35">
        <f t="shared" ref="V54:V65" si="20">IF(T$12=0,0,T54/T$12)</f>
        <v>0.10180874375407159</v>
      </c>
      <c r="W54" s="4"/>
      <c r="X54" s="19">
        <f t="shared" ref="X54:X65" si="21">+P54-T54</f>
        <v>-50109.354106238432</v>
      </c>
      <c r="Y54" s="4"/>
      <c r="Z54" s="35">
        <f t="shared" ref="Z54:Z65" si="22">IF(T54=0,0,X54/T54)</f>
        <v>-0.19049964136488112</v>
      </c>
    </row>
    <row r="55" spans="1:26" s="29" customFormat="1" outlineLevel="1" collapsed="1" x14ac:dyDescent="0.2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11425.13</v>
      </c>
      <c r="E55" s="1"/>
      <c r="F55" s="5">
        <f t="shared" si="15"/>
        <v>1.34032484177308</v>
      </c>
      <c r="G55" s="1"/>
      <c r="H55" s="1">
        <f>SUM(OSRRefH22_0x_0)</f>
        <v>11172.669830169227</v>
      </c>
      <c r="I55" s="1"/>
      <c r="J55" s="5">
        <f t="shared" si="16"/>
        <v>0.80674921150763423</v>
      </c>
      <c r="K55" s="1"/>
      <c r="L55" s="1">
        <f t="shared" si="17"/>
        <v>252.46016983077243</v>
      </c>
      <c r="M55" s="1"/>
      <c r="N55" s="5">
        <f t="shared" si="18"/>
        <v>2.2596225760566357E-2</v>
      </c>
      <c r="O55" s="14"/>
      <c r="P55" s="1">
        <f>SUM(OSRRefP22_0x_0)</f>
        <v>57037.840000000004</v>
      </c>
      <c r="Q55" s="1"/>
      <c r="R55" s="5">
        <f t="shared" si="19"/>
        <v>3.6698450933438966E-2</v>
      </c>
      <c r="S55" s="1"/>
      <c r="T55" s="1">
        <f>SUM(OSRRefT22_0x_0)</f>
        <v>62363.962315930774</v>
      </c>
      <c r="U55" s="1"/>
      <c r="V55" s="5">
        <f t="shared" si="20"/>
        <v>2.4137602809913273E-2</v>
      </c>
      <c r="W55" s="1"/>
      <c r="X55" s="1">
        <f t="shared" si="21"/>
        <v>-5326.1223159307701</v>
      </c>
      <c r="Y55" s="1"/>
      <c r="Z55" s="5">
        <f t="shared" si="22"/>
        <v>-8.5403847320493637E-2</v>
      </c>
    </row>
    <row r="56" spans="1:26" s="24" customFormat="1" hidden="1" outlineLevel="2" x14ac:dyDescent="0.25">
      <c r="A56" s="28"/>
      <c r="B56" s="11" t="str">
        <f>CONCATENATE("          ", "6111", " - ", "F.I.C.A.")</f>
        <v xml:space="preserve">          6111 - F.I.C.A.</v>
      </c>
      <c r="C56" s="11"/>
      <c r="D56" s="6">
        <v>1724.83</v>
      </c>
      <c r="E56" s="2"/>
      <c r="F56" s="7">
        <f t="shared" si="15"/>
        <v>0.20234627499516081</v>
      </c>
      <c r="G56" s="2"/>
      <c r="H56" s="6">
        <v>1568.3171629384599</v>
      </c>
      <c r="I56" s="2"/>
      <c r="J56" s="7">
        <f t="shared" si="16"/>
        <v>0.1132440727083876</v>
      </c>
      <c r="K56" s="2"/>
      <c r="L56" s="6">
        <f t="shared" si="17"/>
        <v>156.51283706154004</v>
      </c>
      <c r="M56" s="2"/>
      <c r="N56" s="7">
        <f t="shared" si="18"/>
        <v>9.9796674269821486E-2</v>
      </c>
      <c r="O56" s="11"/>
      <c r="P56" s="6">
        <v>10947.47</v>
      </c>
      <c r="Q56" s="2"/>
      <c r="R56" s="7">
        <f t="shared" si="19"/>
        <v>7.0436606757951397E-3</v>
      </c>
      <c r="S56" s="2"/>
      <c r="T56" s="6">
        <v>9650.2897711615387</v>
      </c>
      <c r="U56" s="2"/>
      <c r="V56" s="7">
        <f t="shared" si="20"/>
        <v>3.7350875865910663E-3</v>
      </c>
      <c r="W56" s="2"/>
      <c r="X56" s="6">
        <f t="shared" si="21"/>
        <v>1297.1802288384606</v>
      </c>
      <c r="Y56" s="2"/>
      <c r="Z56" s="7">
        <f t="shared" si="22"/>
        <v>0.13441878530061258</v>
      </c>
    </row>
    <row r="57" spans="1:26" s="24" customFormat="1" hidden="1" outlineLevel="2" x14ac:dyDescent="0.25">
      <c r="A57" s="28"/>
      <c r="B57" s="11" t="str">
        <f>CONCATENATE("          ", "6112", " - ", "COMPENSATION INSURANCE")</f>
        <v xml:space="preserve">          6112 - COMPENSATION INSURANCE</v>
      </c>
      <c r="C57" s="11"/>
      <c r="D57" s="6">
        <v>144.18</v>
      </c>
      <c r="E57" s="2"/>
      <c r="F57" s="7">
        <f t="shared" si="15"/>
        <v>1.6914296440114267E-2</v>
      </c>
      <c r="G57" s="2"/>
      <c r="H57" s="6">
        <v>452.192568461539</v>
      </c>
      <c r="I57" s="2"/>
      <c r="J57" s="7">
        <f t="shared" si="16"/>
        <v>3.2651640440576141E-2</v>
      </c>
      <c r="K57" s="2"/>
      <c r="L57" s="6">
        <f t="shared" si="17"/>
        <v>-308.01256846153899</v>
      </c>
      <c r="M57" s="2"/>
      <c r="N57" s="7">
        <f t="shared" si="18"/>
        <v>-0.68115353931946987</v>
      </c>
      <c r="O57" s="11"/>
      <c r="P57" s="6">
        <v>667.35</v>
      </c>
      <c r="Q57" s="2"/>
      <c r="R57" s="7">
        <f t="shared" si="19"/>
        <v>4.2937655476488055E-4</v>
      </c>
      <c r="S57" s="2"/>
      <c r="T57" s="6">
        <v>3204.6972515384618</v>
      </c>
      <c r="U57" s="2"/>
      <c r="V57" s="7">
        <f t="shared" si="20"/>
        <v>1.2403591194508857E-3</v>
      </c>
      <c r="W57" s="2"/>
      <c r="X57" s="6">
        <f t="shared" si="21"/>
        <v>-2537.3472515384619</v>
      </c>
      <c r="Y57" s="2"/>
      <c r="Z57" s="7">
        <f t="shared" si="22"/>
        <v>-0.79175880040474067</v>
      </c>
    </row>
    <row r="58" spans="1:26" s="24" customFormat="1" hidden="1" outlineLevel="2" x14ac:dyDescent="0.25">
      <c r="A58" s="28"/>
      <c r="B58" s="11" t="str">
        <f>CONCATENATE("          ", "6113", " - ", "GROUP INSURANCE")</f>
        <v xml:space="preserve">          6113 - GROUP INSURANCE</v>
      </c>
      <c r="C58" s="11"/>
      <c r="D58" s="6">
        <v>4248.21</v>
      </c>
      <c r="E58" s="2"/>
      <c r="F58" s="7">
        <f t="shared" si="15"/>
        <v>0.49837344485960478</v>
      </c>
      <c r="G58" s="2"/>
      <c r="H58" s="6">
        <v>4662.6923076923094</v>
      </c>
      <c r="I58" s="2"/>
      <c r="J58" s="7">
        <f t="shared" si="16"/>
        <v>0.33668079339246948</v>
      </c>
      <c r="K58" s="2"/>
      <c r="L58" s="6">
        <f t="shared" si="17"/>
        <v>-414.4823076923094</v>
      </c>
      <c r="M58" s="2"/>
      <c r="N58" s="7">
        <f t="shared" si="18"/>
        <v>-8.8893343231873631E-2</v>
      </c>
      <c r="O58" s="11"/>
      <c r="P58" s="6">
        <v>21106.84</v>
      </c>
      <c r="Q58" s="2"/>
      <c r="R58" s="7">
        <f t="shared" si="19"/>
        <v>1.3580253601818493E-2</v>
      </c>
      <c r="S58" s="2"/>
      <c r="T58" s="6">
        <v>23927.307692307691</v>
      </c>
      <c r="U58" s="2"/>
      <c r="V58" s="7">
        <f t="shared" si="20"/>
        <v>9.2609229423508254E-3</v>
      </c>
      <c r="W58" s="2"/>
      <c r="X58" s="6">
        <f t="shared" si="21"/>
        <v>-2820.4676923076913</v>
      </c>
      <c r="Y58" s="2"/>
      <c r="Z58" s="7">
        <f t="shared" si="22"/>
        <v>-0.11787651701467583</v>
      </c>
    </row>
    <row r="59" spans="1:26" s="24" customFormat="1" hidden="1" outlineLevel="2" x14ac:dyDescent="0.25">
      <c r="A59" s="28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113.59</v>
      </c>
      <c r="E59" s="2"/>
      <c r="F59" s="7">
        <f t="shared" si="15"/>
        <v>1.3325668835015809E-2</v>
      </c>
      <c r="G59" s="2"/>
      <c r="H59" s="6">
        <v>63.551388000000003</v>
      </c>
      <c r="I59" s="2"/>
      <c r="J59" s="7">
        <f t="shared" si="16"/>
        <v>4.5888791970539388E-3</v>
      </c>
      <c r="K59" s="2"/>
      <c r="L59" s="6">
        <f t="shared" si="17"/>
        <v>50.038612000000001</v>
      </c>
      <c r="M59" s="2"/>
      <c r="N59" s="7">
        <f t="shared" si="18"/>
        <v>0.78737244889128144</v>
      </c>
      <c r="O59" s="11"/>
      <c r="P59" s="6">
        <v>382.75</v>
      </c>
      <c r="Q59" s="2"/>
      <c r="R59" s="7">
        <f t="shared" si="19"/>
        <v>2.4626339452499892E-4</v>
      </c>
      <c r="S59" s="2"/>
      <c r="T59" s="6">
        <v>450.389884</v>
      </c>
      <c r="U59" s="2"/>
      <c r="V59" s="7">
        <f t="shared" si="20"/>
        <v>1.7432074111201637E-4</v>
      </c>
      <c r="W59" s="2"/>
      <c r="X59" s="6">
        <f t="shared" si="21"/>
        <v>-67.639883999999995</v>
      </c>
      <c r="Y59" s="2"/>
      <c r="Z59" s="7">
        <f t="shared" si="22"/>
        <v>-0.15018073540923491</v>
      </c>
    </row>
    <row r="60" spans="1:26" s="24" customFormat="1" hidden="1" outlineLevel="2" x14ac:dyDescent="0.25">
      <c r="A60" s="28"/>
      <c r="B60" s="11" t="str">
        <f>CONCATENATE("          ", "6115", " - ", "P.E.R.S.")</f>
        <v xml:space="preserve">          6115 - P.E.R.S.</v>
      </c>
      <c r="C60" s="11"/>
      <c r="D60" s="6">
        <v>2042.1</v>
      </c>
      <c r="E60" s="2"/>
      <c r="F60" s="7">
        <f t="shared" si="15"/>
        <v>0.23956640838089427</v>
      </c>
      <c r="G60" s="2"/>
      <c r="H60" s="6">
        <v>1268.5379723076899</v>
      </c>
      <c r="I60" s="2"/>
      <c r="J60" s="7">
        <f t="shared" si="16"/>
        <v>9.1597802896071182E-2</v>
      </c>
      <c r="K60" s="2"/>
      <c r="L60" s="6">
        <f t="shared" si="17"/>
        <v>773.56202769231004</v>
      </c>
      <c r="M60" s="2"/>
      <c r="N60" s="7">
        <f t="shared" si="18"/>
        <v>0.6098059692175134</v>
      </c>
      <c r="O60" s="11"/>
      <c r="P60" s="6">
        <v>8703.02</v>
      </c>
      <c r="Q60" s="2"/>
      <c r="R60" s="7">
        <f t="shared" si="19"/>
        <v>5.5995695566791797E-3</v>
      </c>
      <c r="S60" s="2"/>
      <c r="T60" s="6">
        <v>6976.95884769231</v>
      </c>
      <c r="U60" s="2"/>
      <c r="V60" s="7">
        <f t="shared" si="20"/>
        <v>2.7003906620552852E-3</v>
      </c>
      <c r="W60" s="2"/>
      <c r="X60" s="6">
        <f t="shared" si="21"/>
        <v>1726.0611523076905</v>
      </c>
      <c r="Y60" s="2"/>
      <c r="Z60" s="7">
        <f t="shared" si="22"/>
        <v>0.24739448662200442</v>
      </c>
    </row>
    <row r="61" spans="1:26" s="24" customFormat="1" hidden="1" outlineLevel="2" x14ac:dyDescent="0.25">
      <c r="A61" s="28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5"/>
        <v>0</v>
      </c>
      <c r="G61" s="2"/>
      <c r="H61" s="6">
        <v>0</v>
      </c>
      <c r="I61" s="2"/>
      <c r="J61" s="7">
        <f t="shared" si="16"/>
        <v>0</v>
      </c>
      <c r="K61" s="2"/>
      <c r="L61" s="6">
        <f t="shared" si="17"/>
        <v>0</v>
      </c>
      <c r="M61" s="2"/>
      <c r="N61" s="7">
        <f t="shared" si="18"/>
        <v>0</v>
      </c>
      <c r="O61" s="11"/>
      <c r="P61" s="6"/>
      <c r="Q61" s="2"/>
      <c r="R61" s="7">
        <f t="shared" si="19"/>
        <v>0</v>
      </c>
      <c r="S61" s="2"/>
      <c r="T61" s="6">
        <v>0</v>
      </c>
      <c r="U61" s="2"/>
      <c r="V61" s="7">
        <f t="shared" si="20"/>
        <v>0</v>
      </c>
      <c r="W61" s="2"/>
      <c r="X61" s="6">
        <f t="shared" si="21"/>
        <v>0</v>
      </c>
      <c r="Y61" s="2"/>
      <c r="Z61" s="7">
        <f t="shared" si="22"/>
        <v>0</v>
      </c>
    </row>
    <row r="62" spans="1:26" s="24" customFormat="1" hidden="1" outlineLevel="2" x14ac:dyDescent="0.25">
      <c r="A62" s="28"/>
      <c r="B62" s="11" t="str">
        <f>CONCATENATE("          ", "6117", " - ", "RETIREMENT STAFF HOURLY")</f>
        <v xml:space="preserve">          6117 - RETIREMENT STAFF HOURLY</v>
      </c>
      <c r="C62" s="11"/>
      <c r="D62" s="6">
        <v>232.91</v>
      </c>
      <c r="E62" s="2"/>
      <c r="F62" s="7">
        <f t="shared" si="15"/>
        <v>2.7323545456145189E-2</v>
      </c>
      <c r="G62" s="2"/>
      <c r="H62" s="6"/>
      <c r="I62" s="2"/>
      <c r="J62" s="7">
        <f t="shared" si="16"/>
        <v>0</v>
      </c>
      <c r="K62" s="2"/>
      <c r="L62" s="6">
        <f t="shared" si="17"/>
        <v>232.91</v>
      </c>
      <c r="M62" s="2"/>
      <c r="N62" s="7">
        <f t="shared" si="18"/>
        <v>0</v>
      </c>
      <c r="O62" s="11"/>
      <c r="P62" s="6">
        <v>1293.6500000000001</v>
      </c>
      <c r="Q62" s="2"/>
      <c r="R62" s="7">
        <f t="shared" si="19"/>
        <v>8.3234132025412119E-4</v>
      </c>
      <c r="S62" s="2"/>
      <c r="T62" s="6"/>
      <c r="U62" s="2"/>
      <c r="V62" s="7">
        <f t="shared" si="20"/>
        <v>0</v>
      </c>
      <c r="W62" s="2"/>
      <c r="X62" s="6">
        <f t="shared" si="21"/>
        <v>1293.6500000000001</v>
      </c>
      <c r="Y62" s="2"/>
      <c r="Z62" s="7">
        <f t="shared" si="22"/>
        <v>0</v>
      </c>
    </row>
    <row r="63" spans="1:26" s="24" customFormat="1" hidden="1" outlineLevel="2" x14ac:dyDescent="0.25">
      <c r="A63" s="28"/>
      <c r="B63" s="11" t="str">
        <f>CONCATENATE("          ", "6118", " - ", "VACATION")</f>
        <v xml:space="preserve">          6118 - VACATION</v>
      </c>
      <c r="C63" s="11"/>
      <c r="D63" s="6">
        <v>1278.1500000000001</v>
      </c>
      <c r="E63" s="2"/>
      <c r="F63" s="7">
        <f t="shared" si="15"/>
        <v>0.14994456925323935</v>
      </c>
      <c r="G63" s="2"/>
      <c r="H63" s="6">
        <v>1346.2077200000001</v>
      </c>
      <c r="I63" s="2"/>
      <c r="J63" s="7">
        <f t="shared" si="16"/>
        <v>9.7206131850675143E-2</v>
      </c>
      <c r="K63" s="2"/>
      <c r="L63" s="6">
        <f t="shared" si="17"/>
        <v>-68.057720000000018</v>
      </c>
      <c r="M63" s="2"/>
      <c r="N63" s="7">
        <f t="shared" si="18"/>
        <v>-5.0555140182972663E-2</v>
      </c>
      <c r="O63" s="11"/>
      <c r="P63" s="6">
        <v>6162.85</v>
      </c>
      <c r="Q63" s="2"/>
      <c r="R63" s="7">
        <f t="shared" si="19"/>
        <v>3.9652106099239441E-3</v>
      </c>
      <c r="S63" s="2"/>
      <c r="T63" s="6">
        <v>7404.14246</v>
      </c>
      <c r="U63" s="2"/>
      <c r="V63" s="7">
        <f t="shared" si="20"/>
        <v>2.8657295529447282E-3</v>
      </c>
      <c r="W63" s="2"/>
      <c r="X63" s="6">
        <f t="shared" si="21"/>
        <v>-1241.2924599999997</v>
      </c>
      <c r="Y63" s="2"/>
      <c r="Z63" s="7">
        <f t="shared" si="22"/>
        <v>-0.16764837612268196</v>
      </c>
    </row>
    <row r="64" spans="1:26" s="24" customFormat="1" hidden="1" outlineLevel="2" x14ac:dyDescent="0.25">
      <c r="A64" s="28"/>
      <c r="B64" s="11" t="str">
        <f>CONCATENATE("          ", "6119", " - ", "SICK LEAVE")</f>
        <v xml:space="preserve">          6119 - SICK LEAVE</v>
      </c>
      <c r="C64" s="11"/>
      <c r="D64" s="6">
        <v>1046.08</v>
      </c>
      <c r="E64" s="2"/>
      <c r="F64" s="7">
        <f t="shared" si="15"/>
        <v>0.12271956734689089</v>
      </c>
      <c r="G64" s="2"/>
      <c r="H64" s="6">
        <v>1061.17071076923</v>
      </c>
      <c r="I64" s="2"/>
      <c r="J64" s="7">
        <f t="shared" si="16"/>
        <v>7.6624356326755003E-2</v>
      </c>
      <c r="K64" s="2"/>
      <c r="L64" s="6">
        <f t="shared" si="17"/>
        <v>-15.0907107692301</v>
      </c>
      <c r="M64" s="2"/>
      <c r="N64" s="7">
        <f t="shared" si="18"/>
        <v>-1.4220813499734669E-2</v>
      </c>
      <c r="O64" s="11"/>
      <c r="P64" s="6">
        <v>5296.78</v>
      </c>
      <c r="Q64" s="2"/>
      <c r="R64" s="7">
        <f t="shared" si="19"/>
        <v>3.4079765456619822E-3</v>
      </c>
      <c r="S64" s="2"/>
      <c r="T64" s="6">
        <v>7000.1764092307703</v>
      </c>
      <c r="U64" s="2"/>
      <c r="V64" s="7">
        <f t="shared" si="20"/>
        <v>2.709376881946046E-3</v>
      </c>
      <c r="W64" s="2"/>
      <c r="X64" s="6">
        <f t="shared" si="21"/>
        <v>-1703.3964092307706</v>
      </c>
      <c r="Y64" s="2"/>
      <c r="Z64" s="7">
        <f t="shared" si="22"/>
        <v>-0.2433362117824045</v>
      </c>
    </row>
    <row r="65" spans="1:26" s="24" customFormat="1" hidden="1" outlineLevel="2" x14ac:dyDescent="0.25">
      <c r="A65" s="28"/>
      <c r="B65" s="11" t="str">
        <f>CONCATENATE("          ", "6156", " - ", "EMPLOYEE MEALS")</f>
        <v xml:space="preserve">          6156 - EMPLOYEE MEALS</v>
      </c>
      <c r="C65" s="11"/>
      <c r="D65" s="6">
        <v>595.08000000000004</v>
      </c>
      <c r="E65" s="2"/>
      <c r="F65" s="7">
        <f t="shared" si="15"/>
        <v>6.9811066206014682E-2</v>
      </c>
      <c r="G65" s="2"/>
      <c r="H65" s="6">
        <v>750</v>
      </c>
      <c r="I65" s="2"/>
      <c r="J65" s="7">
        <f t="shared" si="16"/>
        <v>5.4155534695645893E-2</v>
      </c>
      <c r="K65" s="2"/>
      <c r="L65" s="6">
        <f t="shared" si="17"/>
        <v>-154.91999999999996</v>
      </c>
      <c r="M65" s="2"/>
      <c r="N65" s="7">
        <f t="shared" si="18"/>
        <v>-0.20655999999999994</v>
      </c>
      <c r="O65" s="11"/>
      <c r="P65" s="6">
        <v>2477.13</v>
      </c>
      <c r="Q65" s="2"/>
      <c r="R65" s="7">
        <f t="shared" si="19"/>
        <v>1.5937986740162263E-3</v>
      </c>
      <c r="S65" s="2"/>
      <c r="T65" s="6">
        <v>3750</v>
      </c>
      <c r="U65" s="2"/>
      <c r="V65" s="7">
        <f t="shared" si="20"/>
        <v>1.4514153234624189E-3</v>
      </c>
      <c r="W65" s="2"/>
      <c r="X65" s="6">
        <f t="shared" si="21"/>
        <v>-1272.8699999999999</v>
      </c>
      <c r="Y65" s="2"/>
      <c r="Z65" s="7">
        <f t="shared" si="22"/>
        <v>-0.33943199999999996</v>
      </c>
    </row>
    <row r="66" spans="1:26" s="29" customFormat="1" outlineLevel="1" collapsed="1" x14ac:dyDescent="0.25">
      <c r="A66" s="27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20893.93</v>
      </c>
      <c r="E66" s="1"/>
      <c r="F66" s="5">
        <f t="shared" ref="F66:F76" si="23">IF(D$12=0,0,D66/D$12)</f>
        <v>2.4511452754820131</v>
      </c>
      <c r="G66" s="1"/>
      <c r="H66" s="1">
        <f>SUM(OSRRefH22_1x_0)</f>
        <v>22343.002143692298</v>
      </c>
      <c r="I66" s="1"/>
      <c r="J66" s="5">
        <f t="shared" ref="J66:J76" si="24">IF(H$12=0,0,H66/H$12)</f>
        <v>1.6133296370634918</v>
      </c>
      <c r="K66" s="1"/>
      <c r="L66" s="1">
        <f t="shared" ref="L66:L76" si="25">+D66-H66</f>
        <v>-1449.0721436922977</v>
      </c>
      <c r="M66" s="1"/>
      <c r="N66" s="5">
        <f t="shared" ref="N66:N76" si="26">IF(H66=0,0,L66/H66)</f>
        <v>-6.4855749212797187E-2</v>
      </c>
      <c r="O66" s="14"/>
      <c r="P66" s="1">
        <f>SUM(OSRRefP22_1x_0)</f>
        <v>137338.75999999998</v>
      </c>
      <c r="Q66" s="1"/>
      <c r="R66" s="5">
        <f t="shared" ref="R66:R76" si="27">IF(P$12=0,0,P66/P$12)</f>
        <v>8.8364491802623471E-2</v>
      </c>
      <c r="S66" s="1"/>
      <c r="T66" s="1">
        <f>SUM(OSRRefT22_1x_0)</f>
        <v>161677.7617903077</v>
      </c>
      <c r="U66" s="1"/>
      <c r="V66" s="5">
        <f t="shared" ref="V66:V76" si="28">IF(T$12=0,0,T66/T$12)</f>
        <v>6.2576421580149172E-2</v>
      </c>
      <c r="W66" s="1"/>
      <c r="X66" s="1">
        <f t="shared" ref="X66:X76" si="29">+P66-T66</f>
        <v>-24339.001790307724</v>
      </c>
      <c r="Y66" s="1"/>
      <c r="Z66" s="5">
        <f t="shared" ref="Z66:Z76" si="30">IF(T66=0,0,X66/T66)</f>
        <v>-0.15054019501998575</v>
      </c>
    </row>
    <row r="67" spans="1:26" s="24" customFormat="1" hidden="1" outlineLevel="2" x14ac:dyDescent="0.25">
      <c r="A67" s="28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3"/>
        <v>0</v>
      </c>
      <c r="G67" s="2"/>
      <c r="H67" s="6">
        <v>0</v>
      </c>
      <c r="I67" s="2"/>
      <c r="J67" s="7">
        <f t="shared" si="24"/>
        <v>0</v>
      </c>
      <c r="K67" s="2"/>
      <c r="L67" s="6">
        <f t="shared" si="25"/>
        <v>0</v>
      </c>
      <c r="M67" s="2"/>
      <c r="N67" s="7">
        <f t="shared" si="26"/>
        <v>0</v>
      </c>
      <c r="O67" s="11"/>
      <c r="P67" s="6">
        <v>-311.32</v>
      </c>
      <c r="Q67" s="2"/>
      <c r="R67" s="7">
        <f t="shared" si="27"/>
        <v>-2.003049509693603E-4</v>
      </c>
      <c r="S67" s="2"/>
      <c r="T67" s="6">
        <v>0</v>
      </c>
      <c r="U67" s="2"/>
      <c r="V67" s="7">
        <f t="shared" si="28"/>
        <v>0</v>
      </c>
      <c r="W67" s="2"/>
      <c r="X67" s="6">
        <f t="shared" si="29"/>
        <v>-311.32</v>
      </c>
      <c r="Y67" s="2"/>
      <c r="Z67" s="7">
        <f t="shared" si="30"/>
        <v>0</v>
      </c>
    </row>
    <row r="68" spans="1:26" s="24" customFormat="1" hidden="1" outlineLevel="2" x14ac:dyDescent="0.25">
      <c r="A68" s="28"/>
      <c r="B68" s="11" t="str">
        <f>CONCATENATE("          ", "6002", " - ", "STAFF SALARIES")</f>
        <v xml:space="preserve">          6002 - STAFF SALARIES</v>
      </c>
      <c r="C68" s="11"/>
      <c r="D68" s="6">
        <v>14271.35</v>
      </c>
      <c r="E68" s="2"/>
      <c r="F68" s="7">
        <f t="shared" si="23"/>
        <v>1.6742255826094099</v>
      </c>
      <c r="G68" s="2"/>
      <c r="H68" s="6">
        <v>13107.2520636923</v>
      </c>
      <c r="I68" s="2"/>
      <c r="J68" s="7">
        <f t="shared" si="24"/>
        <v>0.94644032519981947</v>
      </c>
      <c r="K68" s="2"/>
      <c r="L68" s="6">
        <f t="shared" si="25"/>
        <v>1164.0979363077004</v>
      </c>
      <c r="M68" s="2"/>
      <c r="N68" s="7">
        <f t="shared" si="26"/>
        <v>8.8813271511906447E-2</v>
      </c>
      <c r="O68" s="11"/>
      <c r="P68" s="6">
        <v>78415.5</v>
      </c>
      <c r="Q68" s="2"/>
      <c r="R68" s="7">
        <f t="shared" si="27"/>
        <v>5.0452951569889097E-2</v>
      </c>
      <c r="S68" s="2"/>
      <c r="T68" s="6">
        <v>72089.886350307701</v>
      </c>
      <c r="U68" s="2"/>
      <c r="V68" s="7">
        <f t="shared" si="28"/>
        <v>2.7901964190800235E-2</v>
      </c>
      <c r="W68" s="2"/>
      <c r="X68" s="6">
        <f t="shared" si="29"/>
        <v>6325.6136496922991</v>
      </c>
      <c r="Y68" s="2"/>
      <c r="Z68" s="7">
        <f t="shared" si="30"/>
        <v>8.7746200888070891E-2</v>
      </c>
    </row>
    <row r="69" spans="1:26" s="24" customFormat="1" hidden="1" outlineLevel="2" x14ac:dyDescent="0.25">
      <c r="A69" s="28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3"/>
        <v>0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0</v>
      </c>
      <c r="M69" s="2"/>
      <c r="N69" s="7">
        <f t="shared" si="26"/>
        <v>0</v>
      </c>
      <c r="O69" s="11"/>
      <c r="P69" s="6"/>
      <c r="Q69" s="2"/>
      <c r="R69" s="7">
        <f t="shared" si="27"/>
        <v>0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0</v>
      </c>
      <c r="Y69" s="2"/>
      <c r="Z69" s="7">
        <f t="shared" si="30"/>
        <v>0</v>
      </c>
    </row>
    <row r="70" spans="1:26" s="24" customFormat="1" hidden="1" outlineLevel="2" x14ac:dyDescent="0.25">
      <c r="A70" s="28"/>
      <c r="B70" s="11" t="str">
        <f>CONCATENATE("          ", "6004", " - ", "STAFF HOURLY")</f>
        <v xml:space="preserve">          6004 - STAFF HOURLY</v>
      </c>
      <c r="C70" s="11"/>
      <c r="D70" s="6">
        <v>5370.49</v>
      </c>
      <c r="E70" s="2"/>
      <c r="F70" s="7">
        <f t="shared" si="23"/>
        <v>0.63003231993805831</v>
      </c>
      <c r="G70" s="2"/>
      <c r="H70" s="6">
        <v>5285.7500799999998</v>
      </c>
      <c r="I70" s="2"/>
      <c r="J70" s="7">
        <f t="shared" si="24"/>
        <v>0.38167016246660407</v>
      </c>
      <c r="K70" s="2"/>
      <c r="L70" s="6">
        <f t="shared" si="25"/>
        <v>84.739919999999984</v>
      </c>
      <c r="M70" s="2"/>
      <c r="N70" s="7">
        <f t="shared" si="26"/>
        <v>1.6031768191355728E-2</v>
      </c>
      <c r="O70" s="11"/>
      <c r="P70" s="6">
        <v>32682.01</v>
      </c>
      <c r="Q70" s="2"/>
      <c r="R70" s="7">
        <f t="shared" si="27"/>
        <v>2.1027779810581213E-2</v>
      </c>
      <c r="S70" s="2"/>
      <c r="T70" s="6">
        <v>29071.62544</v>
      </c>
      <c r="U70" s="2"/>
      <c r="V70" s="7">
        <f t="shared" si="28"/>
        <v>1.1252000704420237E-2</v>
      </c>
      <c r="W70" s="2"/>
      <c r="X70" s="6">
        <f t="shared" si="29"/>
        <v>3610.3845599999986</v>
      </c>
      <c r="Y70" s="2"/>
      <c r="Z70" s="7">
        <f t="shared" si="30"/>
        <v>0.1241892912885575</v>
      </c>
    </row>
    <row r="71" spans="1:26" s="24" customFormat="1" hidden="1" outlineLevel="2" x14ac:dyDescent="0.25">
      <c r="A71" s="28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3"/>
        <v>0</v>
      </c>
      <c r="G71" s="2"/>
      <c r="H71" s="6">
        <v>2850</v>
      </c>
      <c r="I71" s="2"/>
      <c r="J71" s="7">
        <f t="shared" si="24"/>
        <v>0.2057910318434544</v>
      </c>
      <c r="K71" s="2"/>
      <c r="L71" s="6">
        <f t="shared" si="25"/>
        <v>-2850</v>
      </c>
      <c r="M71" s="2"/>
      <c r="N71" s="7">
        <f t="shared" si="26"/>
        <v>-1</v>
      </c>
      <c r="O71" s="11"/>
      <c r="P71" s="6">
        <v>12838</v>
      </c>
      <c r="Q71" s="2"/>
      <c r="R71" s="7">
        <f t="shared" si="27"/>
        <v>8.2600377763865085E-3</v>
      </c>
      <c r="S71" s="2"/>
      <c r="T71" s="6">
        <v>17100</v>
      </c>
      <c r="U71" s="2"/>
      <c r="V71" s="7">
        <f t="shared" si="28"/>
        <v>6.6184538749886309E-3</v>
      </c>
      <c r="W71" s="2"/>
      <c r="X71" s="6">
        <f t="shared" si="29"/>
        <v>-4262</v>
      </c>
      <c r="Y71" s="2"/>
      <c r="Z71" s="7">
        <f t="shared" si="30"/>
        <v>-0.24923976608187134</v>
      </c>
    </row>
    <row r="72" spans="1:26" s="24" customFormat="1" hidden="1" outlineLevel="2" x14ac:dyDescent="0.25">
      <c r="A72" s="28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>
        <v>502.29</v>
      </c>
      <c r="Q72" s="2"/>
      <c r="R72" s="7">
        <f t="shared" si="27"/>
        <v>3.2317606906848259E-4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502.29</v>
      </c>
      <c r="Y72" s="2"/>
      <c r="Z72" s="7">
        <f t="shared" si="30"/>
        <v>0</v>
      </c>
    </row>
    <row r="73" spans="1:26" s="24" customFormat="1" hidden="1" outlineLevel="2" x14ac:dyDescent="0.25">
      <c r="A73" s="28"/>
      <c r="B73" s="11" t="str">
        <f>CONCATENATE("          ", "6007", " - ", "STUDENT HOURLY")</f>
        <v xml:space="preserve">          6007 - STUDENT HOURLY</v>
      </c>
      <c r="C73" s="11"/>
      <c r="D73" s="6">
        <v>1252.0899999999999</v>
      </c>
      <c r="E73" s="2"/>
      <c r="F73" s="7">
        <f t="shared" si="23"/>
        <v>0.14688737293454479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1252.0899999999999</v>
      </c>
      <c r="M73" s="2"/>
      <c r="N73" s="7">
        <f t="shared" si="26"/>
        <v>0</v>
      </c>
      <c r="O73" s="11"/>
      <c r="P73" s="6">
        <v>13212.28</v>
      </c>
      <c r="Q73" s="2"/>
      <c r="R73" s="7">
        <f t="shared" si="27"/>
        <v>8.5008515276675453E-3</v>
      </c>
      <c r="S73" s="2"/>
      <c r="T73" s="6">
        <v>13387.5</v>
      </c>
      <c r="U73" s="2"/>
      <c r="V73" s="7">
        <f t="shared" si="28"/>
        <v>5.1815527047608355E-3</v>
      </c>
      <c r="W73" s="2"/>
      <c r="X73" s="6">
        <f t="shared" si="29"/>
        <v>-175.21999999999935</v>
      </c>
      <c r="Y73" s="2"/>
      <c r="Z73" s="7">
        <f t="shared" si="30"/>
        <v>-1.3088328664799203E-2</v>
      </c>
    </row>
    <row r="74" spans="1:26" s="24" customFormat="1" hidden="1" outlineLevel="2" x14ac:dyDescent="0.25">
      <c r="A74" s="28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3"/>
        <v>0</v>
      </c>
      <c r="G74" s="2"/>
      <c r="H74" s="6">
        <v>1100</v>
      </c>
      <c r="I74" s="2"/>
      <c r="J74" s="7">
        <f t="shared" si="24"/>
        <v>7.9428117553613981E-2</v>
      </c>
      <c r="K74" s="2"/>
      <c r="L74" s="6">
        <f t="shared" si="25"/>
        <v>-1100</v>
      </c>
      <c r="M74" s="2"/>
      <c r="N74" s="7">
        <f t="shared" si="26"/>
        <v>-1</v>
      </c>
      <c r="O74" s="11"/>
      <c r="P74" s="6"/>
      <c r="Q74" s="2"/>
      <c r="R74" s="7">
        <f t="shared" si="27"/>
        <v>0</v>
      </c>
      <c r="S74" s="2"/>
      <c r="T74" s="6">
        <v>30028.75</v>
      </c>
      <c r="U74" s="2"/>
      <c r="V74" s="7">
        <f t="shared" si="28"/>
        <v>1.1622450105179231E-2</v>
      </c>
      <c r="W74" s="2"/>
      <c r="X74" s="6">
        <f t="shared" si="29"/>
        <v>-30028.75</v>
      </c>
      <c r="Y74" s="2"/>
      <c r="Z74" s="7">
        <f t="shared" si="30"/>
        <v>-1</v>
      </c>
    </row>
    <row r="75" spans="1:26" s="24" customFormat="1" hidden="1" outlineLevel="2" x14ac:dyDescent="0.25">
      <c r="A75" s="28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/>
      <c r="Q75" s="2"/>
      <c r="R75" s="7">
        <f t="shared" si="27"/>
        <v>0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0</v>
      </c>
      <c r="Y75" s="2"/>
      <c r="Z75" s="7">
        <f t="shared" si="30"/>
        <v>0</v>
      </c>
    </row>
    <row r="76" spans="1:26" s="24" customFormat="1" hidden="1" outlineLevel="2" x14ac:dyDescent="0.25">
      <c r="A76" s="28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9" customFormat="1" outlineLevel="1" collapsed="1" x14ac:dyDescent="0.25">
      <c r="A77" s="27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0</v>
      </c>
      <c r="E77" s="1"/>
      <c r="F77" s="5">
        <f t="shared" ref="F77:F89" si="31">IF(D$12=0,0,D77/D$12)</f>
        <v>0</v>
      </c>
      <c r="G77" s="1"/>
      <c r="H77" s="1">
        <f>SUM(OSRRefH22_2x_0)</f>
        <v>100</v>
      </c>
      <c r="I77" s="1"/>
      <c r="J77" s="5">
        <f t="shared" ref="J77:J89" si="32">IF(H$12=0,0,H77/H$12)</f>
        <v>7.2207379594194524E-3</v>
      </c>
      <c r="K77" s="1"/>
      <c r="L77" s="1">
        <f t="shared" ref="L77:L89" si="33">+D77-H77</f>
        <v>-100</v>
      </c>
      <c r="M77" s="1"/>
      <c r="N77" s="5">
        <f t="shared" ref="N77:N89" si="34">IF(H77=0,0,L77/H77)</f>
        <v>-1</v>
      </c>
      <c r="O77" s="14"/>
      <c r="P77" s="1">
        <f>SUM(OSRRefP22_2x_0)</f>
        <v>1359.88</v>
      </c>
      <c r="Q77" s="1"/>
      <c r="R77" s="5">
        <f t="shared" ref="R77:R89" si="35">IF(P$12=0,0,P77/P$12)</f>
        <v>8.7495405603306474E-4</v>
      </c>
      <c r="S77" s="1"/>
      <c r="T77" s="1">
        <f>SUM(OSRRefT22_2x_0)</f>
        <v>1350</v>
      </c>
      <c r="U77" s="1"/>
      <c r="V77" s="5">
        <f t="shared" ref="V77:V89" si="36">IF(T$12=0,0,T77/T$12)</f>
        <v>5.2250951644647087E-4</v>
      </c>
      <c r="W77" s="1"/>
      <c r="X77" s="1">
        <f t="shared" ref="X77:X89" si="37">+P77-T77</f>
        <v>9.8800000000001091</v>
      </c>
      <c r="Y77" s="1"/>
      <c r="Z77" s="5">
        <f t="shared" ref="Z77:Z89" si="38">IF(T77=0,0,X77/T77)</f>
        <v>7.3185185185185991E-3</v>
      </c>
    </row>
    <row r="78" spans="1:26" s="24" customFormat="1" hidden="1" outlineLevel="2" x14ac:dyDescent="0.25">
      <c r="A78" s="28"/>
      <c r="B78" s="11" t="str">
        <f>CONCATENATE("          ", "6362", " - ", "ADVERTISING EXPENSE")</f>
        <v xml:space="preserve">          6362 - ADVERTISING EXPENSE</v>
      </c>
      <c r="C78" s="11"/>
      <c r="D78" s="6"/>
      <c r="E78" s="2"/>
      <c r="F78" s="7">
        <f t="shared" si="31"/>
        <v>0</v>
      </c>
      <c r="G78" s="2"/>
      <c r="H78" s="6">
        <v>100</v>
      </c>
      <c r="I78" s="2"/>
      <c r="J78" s="7">
        <f t="shared" si="32"/>
        <v>7.2207379594194524E-3</v>
      </c>
      <c r="K78" s="2"/>
      <c r="L78" s="6">
        <f t="shared" si="33"/>
        <v>-100</v>
      </c>
      <c r="M78" s="2"/>
      <c r="N78" s="7">
        <f t="shared" si="34"/>
        <v>-1</v>
      </c>
      <c r="O78" s="11"/>
      <c r="P78" s="6">
        <v>1359.88</v>
      </c>
      <c r="Q78" s="2"/>
      <c r="R78" s="7">
        <f t="shared" si="35"/>
        <v>8.7495405603306474E-4</v>
      </c>
      <c r="S78" s="2"/>
      <c r="T78" s="6">
        <v>1350</v>
      </c>
      <c r="U78" s="2"/>
      <c r="V78" s="7">
        <f t="shared" si="36"/>
        <v>5.2250951644647087E-4</v>
      </c>
      <c r="W78" s="2"/>
      <c r="X78" s="6">
        <f t="shared" si="37"/>
        <v>9.8800000000001091</v>
      </c>
      <c r="Y78" s="2"/>
      <c r="Z78" s="7">
        <f t="shared" si="38"/>
        <v>7.3185185185185991E-3</v>
      </c>
    </row>
    <row r="79" spans="1:26" s="29" customFormat="1" outlineLevel="1" collapsed="1" x14ac:dyDescent="0.25">
      <c r="A79" s="27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0</v>
      </c>
      <c r="E79" s="1"/>
      <c r="F79" s="5">
        <f t="shared" si="31"/>
        <v>0</v>
      </c>
      <c r="G79" s="1"/>
      <c r="H79" s="1">
        <f>SUM(OSRRefH22_3x_0)</f>
        <v>1400</v>
      </c>
      <c r="I79" s="1"/>
      <c r="J79" s="5">
        <f t="shared" si="32"/>
        <v>0.10109033143187234</v>
      </c>
      <c r="K79" s="1"/>
      <c r="L79" s="1">
        <f t="shared" si="33"/>
        <v>-1400</v>
      </c>
      <c r="M79" s="1"/>
      <c r="N79" s="5">
        <f t="shared" si="34"/>
        <v>-1</v>
      </c>
      <c r="O79" s="14"/>
      <c r="P79" s="1">
        <f>SUM(OSRRefP22_3x_0)</f>
        <v>0</v>
      </c>
      <c r="Q79" s="1"/>
      <c r="R79" s="5">
        <f t="shared" si="35"/>
        <v>0</v>
      </c>
      <c r="S79" s="1"/>
      <c r="T79" s="1">
        <f>SUM(OSRRefT22_3x_0)</f>
        <v>8800</v>
      </c>
      <c r="U79" s="1"/>
      <c r="V79" s="5">
        <f t="shared" si="36"/>
        <v>3.4059879590584764E-3</v>
      </c>
      <c r="W79" s="1"/>
      <c r="X79" s="1">
        <f t="shared" si="37"/>
        <v>-8800</v>
      </c>
      <c r="Y79" s="1"/>
      <c r="Z79" s="5">
        <f t="shared" si="38"/>
        <v>-1</v>
      </c>
    </row>
    <row r="80" spans="1:26" s="24" customFormat="1" hidden="1" outlineLevel="2" x14ac:dyDescent="0.25">
      <c r="A80" s="28"/>
      <c r="B80" s="11" t="str">
        <f>CONCATENATE("          ", "6382", " - ", "DISCOUNTS/MARK DOWNS")</f>
        <v xml:space="preserve">          6382 - DISCOUNTS/MARK DOWNS</v>
      </c>
      <c r="C80" s="11"/>
      <c r="D80" s="6"/>
      <c r="E80" s="2"/>
      <c r="F80" s="7">
        <f t="shared" si="31"/>
        <v>0</v>
      </c>
      <c r="G80" s="2"/>
      <c r="H80" s="6">
        <v>1400</v>
      </c>
      <c r="I80" s="2"/>
      <c r="J80" s="7">
        <f t="shared" si="32"/>
        <v>0.10109033143187234</v>
      </c>
      <c r="K80" s="2"/>
      <c r="L80" s="6">
        <f t="shared" si="33"/>
        <v>-1400</v>
      </c>
      <c r="M80" s="2"/>
      <c r="N80" s="7">
        <f t="shared" si="34"/>
        <v>-1</v>
      </c>
      <c r="O80" s="11"/>
      <c r="P80" s="6"/>
      <c r="Q80" s="2"/>
      <c r="R80" s="7">
        <f t="shared" si="35"/>
        <v>0</v>
      </c>
      <c r="S80" s="2"/>
      <c r="T80" s="6">
        <v>8800</v>
      </c>
      <c r="U80" s="2"/>
      <c r="V80" s="7">
        <f t="shared" si="36"/>
        <v>3.4059879590584764E-3</v>
      </c>
      <c r="W80" s="2"/>
      <c r="X80" s="6">
        <f t="shared" si="37"/>
        <v>-8800</v>
      </c>
      <c r="Y80" s="2"/>
      <c r="Z80" s="7">
        <f t="shared" si="38"/>
        <v>-1</v>
      </c>
    </row>
    <row r="81" spans="1:26" s="29" customFormat="1" outlineLevel="1" collapsed="1" x14ac:dyDescent="0.25">
      <c r="A81" s="27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si="31"/>
        <v>0</v>
      </c>
      <c r="G81" s="1"/>
      <c r="H81" s="1">
        <f>SUM(OSRRefH22_4x_0)</f>
        <v>75</v>
      </c>
      <c r="I81" s="1"/>
      <c r="J81" s="5">
        <f t="shared" si="32"/>
        <v>5.4155534695645895E-3</v>
      </c>
      <c r="K81" s="1"/>
      <c r="L81" s="1">
        <f t="shared" si="33"/>
        <v>-75</v>
      </c>
      <c r="M81" s="1"/>
      <c r="N81" s="5">
        <f t="shared" si="34"/>
        <v>-1</v>
      </c>
      <c r="O81" s="14"/>
      <c r="P81" s="1">
        <f>SUM(OSRRefP22_4x_0)</f>
        <v>107.7</v>
      </c>
      <c r="Q81" s="1"/>
      <c r="R81" s="5">
        <f t="shared" si="35"/>
        <v>6.929475529808592E-5</v>
      </c>
      <c r="S81" s="1"/>
      <c r="T81" s="1">
        <f>SUM(OSRRefT22_4x_0)</f>
        <v>375</v>
      </c>
      <c r="U81" s="1"/>
      <c r="V81" s="5">
        <f t="shared" si="36"/>
        <v>1.451415323462419E-4</v>
      </c>
      <c r="W81" s="1"/>
      <c r="X81" s="1">
        <f t="shared" si="37"/>
        <v>-267.3</v>
      </c>
      <c r="Y81" s="1"/>
      <c r="Z81" s="5">
        <f t="shared" si="38"/>
        <v>-0.71279999999999999</v>
      </c>
    </row>
    <row r="82" spans="1:26" s="24" customFormat="1" hidden="1" outlineLevel="2" x14ac:dyDescent="0.25">
      <c r="A82" s="28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31"/>
        <v>0</v>
      </c>
      <c r="G82" s="2"/>
      <c r="H82" s="6">
        <v>75</v>
      </c>
      <c r="I82" s="2"/>
      <c r="J82" s="7">
        <f t="shared" si="32"/>
        <v>5.4155534695645895E-3</v>
      </c>
      <c r="K82" s="2"/>
      <c r="L82" s="6">
        <f t="shared" si="33"/>
        <v>-75</v>
      </c>
      <c r="M82" s="2"/>
      <c r="N82" s="7">
        <f t="shared" si="34"/>
        <v>-1</v>
      </c>
      <c r="O82" s="11"/>
      <c r="P82" s="6">
        <v>107.7</v>
      </c>
      <c r="Q82" s="2"/>
      <c r="R82" s="7">
        <f t="shared" si="35"/>
        <v>6.929475529808592E-5</v>
      </c>
      <c r="S82" s="2"/>
      <c r="T82" s="6">
        <v>375</v>
      </c>
      <c r="U82" s="2"/>
      <c r="V82" s="7">
        <f t="shared" si="36"/>
        <v>1.451415323462419E-4</v>
      </c>
      <c r="W82" s="2"/>
      <c r="X82" s="6">
        <f t="shared" si="37"/>
        <v>-267.3</v>
      </c>
      <c r="Y82" s="2"/>
      <c r="Z82" s="7">
        <f t="shared" si="38"/>
        <v>-0.71279999999999999</v>
      </c>
    </row>
    <row r="83" spans="1:26" s="29" customFormat="1" outlineLevel="1" collapsed="1" x14ac:dyDescent="0.25">
      <c r="A83" s="27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91.26</v>
      </c>
      <c r="E83" s="1"/>
      <c r="F83" s="5">
        <f t="shared" si="31"/>
        <v>1.0706052802918767E-2</v>
      </c>
      <c r="G83" s="1"/>
      <c r="H83" s="1">
        <f>SUM(OSRRefH22_5x_0)</f>
        <v>100</v>
      </c>
      <c r="I83" s="1"/>
      <c r="J83" s="5">
        <f t="shared" si="32"/>
        <v>7.2207379594194524E-3</v>
      </c>
      <c r="K83" s="1"/>
      <c r="L83" s="1">
        <f t="shared" si="33"/>
        <v>-8.7399999999999949</v>
      </c>
      <c r="M83" s="1"/>
      <c r="N83" s="5">
        <f t="shared" si="34"/>
        <v>-8.739999999999995E-2</v>
      </c>
      <c r="O83" s="14"/>
      <c r="P83" s="1">
        <f>SUM(OSRRefP22_5x_0)</f>
        <v>547.55999999999995</v>
      </c>
      <c r="Q83" s="1"/>
      <c r="R83" s="5">
        <f t="shared" si="35"/>
        <v>3.5230302888597883E-4</v>
      </c>
      <c r="S83" s="1"/>
      <c r="T83" s="1">
        <f>SUM(OSRRefT22_5x_0)</f>
        <v>500</v>
      </c>
      <c r="U83" s="1"/>
      <c r="V83" s="5">
        <f t="shared" si="36"/>
        <v>1.9352204312832254E-4</v>
      </c>
      <c r="W83" s="1"/>
      <c r="X83" s="1">
        <f t="shared" si="37"/>
        <v>47.559999999999945</v>
      </c>
      <c r="Y83" s="1"/>
      <c r="Z83" s="5">
        <f t="shared" si="38"/>
        <v>9.5119999999999885E-2</v>
      </c>
    </row>
    <row r="84" spans="1:26" s="24" customFormat="1" hidden="1" outlineLevel="2" x14ac:dyDescent="0.25">
      <c r="A84" s="28"/>
      <c r="B84" s="11" t="str">
        <f>CONCATENATE("          ", "6351", " - ", "EQUIPMENT RENTAL")</f>
        <v xml:space="preserve">          6351 - EQUIPMENT RENTAL</v>
      </c>
      <c r="C84" s="11"/>
      <c r="D84" s="6">
        <v>91.26</v>
      </c>
      <c r="E84" s="2"/>
      <c r="F84" s="7">
        <f t="shared" si="31"/>
        <v>1.0706052802918767E-2</v>
      </c>
      <c r="G84" s="2"/>
      <c r="H84" s="6">
        <v>100</v>
      </c>
      <c r="I84" s="2"/>
      <c r="J84" s="7">
        <f t="shared" si="32"/>
        <v>7.2207379594194524E-3</v>
      </c>
      <c r="K84" s="2"/>
      <c r="L84" s="6">
        <f t="shared" si="33"/>
        <v>-8.7399999999999949</v>
      </c>
      <c r="M84" s="2"/>
      <c r="N84" s="7">
        <f t="shared" si="34"/>
        <v>-8.739999999999995E-2</v>
      </c>
      <c r="O84" s="11"/>
      <c r="P84" s="6">
        <v>547.55999999999995</v>
      </c>
      <c r="Q84" s="2"/>
      <c r="R84" s="7">
        <f t="shared" si="35"/>
        <v>3.5230302888597883E-4</v>
      </c>
      <c r="S84" s="2"/>
      <c r="T84" s="6">
        <v>500</v>
      </c>
      <c r="U84" s="2"/>
      <c r="V84" s="7">
        <f t="shared" si="36"/>
        <v>1.9352204312832254E-4</v>
      </c>
      <c r="W84" s="2"/>
      <c r="X84" s="6">
        <f t="shared" si="37"/>
        <v>47.559999999999945</v>
      </c>
      <c r="Y84" s="2"/>
      <c r="Z84" s="7">
        <f t="shared" si="38"/>
        <v>9.5119999999999885E-2</v>
      </c>
    </row>
    <row r="85" spans="1:26" s="29" customFormat="1" outlineLevel="1" collapsed="1" x14ac:dyDescent="0.25">
      <c r="A85" s="27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4164.83</v>
      </c>
      <c r="E85" s="1"/>
      <c r="F85" s="5">
        <f t="shared" si="31"/>
        <v>0.48859182440477938</v>
      </c>
      <c r="G85" s="1"/>
      <c r="H85" s="1">
        <f>SUM(OSRRefH22_6x_0)</f>
        <v>4000</v>
      </c>
      <c r="I85" s="1"/>
      <c r="J85" s="5">
        <f t="shared" si="32"/>
        <v>0.28882951837677812</v>
      </c>
      <c r="K85" s="1"/>
      <c r="L85" s="1">
        <f t="shared" si="33"/>
        <v>164.82999999999993</v>
      </c>
      <c r="M85" s="1"/>
      <c r="N85" s="5">
        <f t="shared" si="34"/>
        <v>4.120749999999998E-2</v>
      </c>
      <c r="O85" s="14"/>
      <c r="P85" s="1">
        <f>SUM(OSRRefP22_6x_0)</f>
        <v>4730.83</v>
      </c>
      <c r="Q85" s="1"/>
      <c r="R85" s="5">
        <f t="shared" si="35"/>
        <v>3.0438412925426536E-3</v>
      </c>
      <c r="S85" s="1"/>
      <c r="T85" s="1">
        <f>SUM(OSRRefT22_6x_0)</f>
        <v>9700</v>
      </c>
      <c r="U85" s="1"/>
      <c r="V85" s="5">
        <f t="shared" si="36"/>
        <v>3.7543276366894572E-3</v>
      </c>
      <c r="W85" s="1"/>
      <c r="X85" s="1">
        <f t="shared" si="37"/>
        <v>-4969.17</v>
      </c>
      <c r="Y85" s="1"/>
      <c r="Z85" s="5">
        <f t="shared" si="38"/>
        <v>-0.51228556701030925</v>
      </c>
    </row>
    <row r="86" spans="1:26" s="24" customFormat="1" hidden="1" outlineLevel="2" x14ac:dyDescent="0.25">
      <c r="A86" s="28"/>
      <c r="B86" s="11" t="str">
        <f>CONCATENATE("          ", "6305", " - ", "FREIGHT OUT")</f>
        <v xml:space="preserve">          6305 - FREIGHT OUT</v>
      </c>
      <c r="C86" s="11"/>
      <c r="D86" s="6">
        <v>4164.83</v>
      </c>
      <c r="E86" s="2"/>
      <c r="F86" s="7">
        <f t="shared" si="31"/>
        <v>0.48859182440477938</v>
      </c>
      <c r="G86" s="2"/>
      <c r="H86" s="6">
        <v>4000</v>
      </c>
      <c r="I86" s="2"/>
      <c r="J86" s="7">
        <f t="shared" si="32"/>
        <v>0.28882951837677812</v>
      </c>
      <c r="K86" s="2"/>
      <c r="L86" s="6">
        <f t="shared" si="33"/>
        <v>164.82999999999993</v>
      </c>
      <c r="M86" s="2"/>
      <c r="N86" s="7">
        <f t="shared" si="34"/>
        <v>4.120749999999998E-2</v>
      </c>
      <c r="O86" s="11"/>
      <c r="P86" s="6">
        <v>4730.83</v>
      </c>
      <c r="Q86" s="2"/>
      <c r="R86" s="7">
        <f t="shared" si="35"/>
        <v>3.0438412925426536E-3</v>
      </c>
      <c r="S86" s="2"/>
      <c r="T86" s="6">
        <v>9700</v>
      </c>
      <c r="U86" s="2"/>
      <c r="V86" s="7">
        <f t="shared" si="36"/>
        <v>3.7543276366894572E-3</v>
      </c>
      <c r="W86" s="2"/>
      <c r="X86" s="6">
        <f t="shared" si="37"/>
        <v>-4969.17</v>
      </c>
      <c r="Y86" s="2"/>
      <c r="Z86" s="7">
        <f t="shared" si="38"/>
        <v>-0.51228556701030925</v>
      </c>
    </row>
    <row r="87" spans="1:26" s="29" customFormat="1" outlineLevel="1" collapsed="1" x14ac:dyDescent="0.25">
      <c r="A87" s="27"/>
      <c r="B87" s="14" t="str">
        <f>CONCATENATE("     ","General                                           ")</f>
        <v xml:space="preserve">     General                                           </v>
      </c>
      <c r="C87" s="14"/>
      <c r="D87" s="1">
        <f>SUM(OSRRefD22_7x_0)</f>
        <v>3792.73</v>
      </c>
      <c r="E87" s="1"/>
      <c r="F87" s="5">
        <f t="shared" si="31"/>
        <v>0.44493937811981255</v>
      </c>
      <c r="G87" s="1"/>
      <c r="H87" s="1">
        <f>SUM(OSRRefH22_7x_0)</f>
        <v>1250</v>
      </c>
      <c r="I87" s="1"/>
      <c r="J87" s="5">
        <f t="shared" si="32"/>
        <v>9.0259224492743165E-2</v>
      </c>
      <c r="K87" s="1"/>
      <c r="L87" s="1">
        <f t="shared" si="33"/>
        <v>2542.73</v>
      </c>
      <c r="M87" s="1"/>
      <c r="N87" s="5">
        <f t="shared" si="34"/>
        <v>2.0341840000000002</v>
      </c>
      <c r="O87" s="14"/>
      <c r="P87" s="1">
        <f>SUM(OSRRefP22_7x_0)</f>
        <v>-1041.46</v>
      </c>
      <c r="Q87" s="1"/>
      <c r="R87" s="5">
        <f t="shared" si="35"/>
        <v>-6.7008092713783242E-4</v>
      </c>
      <c r="S87" s="1"/>
      <c r="T87" s="1">
        <f>SUM(OSRRefT22_7x_0)</f>
        <v>1375</v>
      </c>
      <c r="U87" s="1"/>
      <c r="V87" s="5">
        <f t="shared" si="36"/>
        <v>5.3218561860288692E-4</v>
      </c>
      <c r="W87" s="1"/>
      <c r="X87" s="1">
        <f t="shared" si="37"/>
        <v>-2416.46</v>
      </c>
      <c r="Y87" s="1"/>
      <c r="Z87" s="5">
        <f t="shared" si="38"/>
        <v>-1.7574254545454546</v>
      </c>
    </row>
    <row r="88" spans="1:26" s="24" customFormat="1" hidden="1" outlineLevel="2" x14ac:dyDescent="0.25">
      <c r="A88" s="28"/>
      <c r="B88" s="11" t="str">
        <f>CONCATENATE("          ", "6269", " - ", "ENTERTAINMENT")</f>
        <v xml:space="preserve">          6269 - ENTERTAINMENT</v>
      </c>
      <c r="C88" s="11"/>
      <c r="D88" s="6"/>
      <c r="E88" s="2"/>
      <c r="F88" s="7">
        <f t="shared" si="31"/>
        <v>0</v>
      </c>
      <c r="G88" s="2"/>
      <c r="H88" s="6">
        <v>1250</v>
      </c>
      <c r="I88" s="2"/>
      <c r="J88" s="7">
        <f t="shared" si="32"/>
        <v>9.0259224492743165E-2</v>
      </c>
      <c r="K88" s="2"/>
      <c r="L88" s="6">
        <f t="shared" si="33"/>
        <v>-1250</v>
      </c>
      <c r="M88" s="2"/>
      <c r="N88" s="7">
        <f t="shared" si="34"/>
        <v>-1</v>
      </c>
      <c r="O88" s="11"/>
      <c r="P88" s="6"/>
      <c r="Q88" s="2"/>
      <c r="R88" s="7">
        <f t="shared" si="35"/>
        <v>0</v>
      </c>
      <c r="S88" s="2"/>
      <c r="T88" s="6">
        <v>1375</v>
      </c>
      <c r="U88" s="2"/>
      <c r="V88" s="7">
        <f t="shared" si="36"/>
        <v>5.3218561860288692E-4</v>
      </c>
      <c r="W88" s="2"/>
      <c r="X88" s="6">
        <f t="shared" si="37"/>
        <v>-1375</v>
      </c>
      <c r="Y88" s="2"/>
      <c r="Z88" s="7">
        <f t="shared" si="38"/>
        <v>-1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6">
        <v>3792.73</v>
      </c>
      <c r="E89" s="2"/>
      <c r="F89" s="7">
        <f t="shared" si="31"/>
        <v>0.44493937811981255</v>
      </c>
      <c r="G89" s="2"/>
      <c r="H89" s="6"/>
      <c r="I89" s="2"/>
      <c r="J89" s="7">
        <f t="shared" si="32"/>
        <v>0</v>
      </c>
      <c r="K89" s="2"/>
      <c r="L89" s="6">
        <f t="shared" si="33"/>
        <v>3792.73</v>
      </c>
      <c r="M89" s="2"/>
      <c r="N89" s="7">
        <f t="shared" si="34"/>
        <v>0</v>
      </c>
      <c r="O89" s="11"/>
      <c r="P89" s="6">
        <v>-1041.46</v>
      </c>
      <c r="Q89" s="2"/>
      <c r="R89" s="7">
        <f t="shared" si="35"/>
        <v>-6.7008092713783242E-4</v>
      </c>
      <c r="S89" s="2"/>
      <c r="T89" s="6"/>
      <c r="U89" s="2"/>
      <c r="V89" s="7">
        <f t="shared" si="36"/>
        <v>0</v>
      </c>
      <c r="W89" s="2"/>
      <c r="X89" s="6">
        <f t="shared" si="37"/>
        <v>-1041.46</v>
      </c>
      <c r="Y89" s="2"/>
      <c r="Z89" s="7">
        <f t="shared" si="38"/>
        <v>0</v>
      </c>
    </row>
    <row r="90" spans="1:26" s="29" customFormat="1" outlineLevel="1" collapsed="1" x14ac:dyDescent="0.25">
      <c r="A90" s="27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ref="F90:F94" si="39">IF(D$12=0,0,D90/D$12)</f>
        <v>0.11731374975804039</v>
      </c>
      <c r="G90" s="1"/>
      <c r="H90" s="1">
        <f>SUM(OSRRefH22_8x_0)</f>
        <v>1000</v>
      </c>
      <c r="I90" s="1"/>
      <c r="J90" s="5">
        <f t="shared" ref="J90:J94" si="40">IF(H$12=0,0,H90/H$12)</f>
        <v>7.2207379594194529E-2</v>
      </c>
      <c r="K90" s="1"/>
      <c r="L90" s="1">
        <f t="shared" ref="L90:L94" si="41">+D90-H90</f>
        <v>0</v>
      </c>
      <c r="M90" s="1"/>
      <c r="N90" s="5">
        <f t="shared" ref="N90:N94" si="42">IF(H90=0,0,L90/H90)</f>
        <v>0</v>
      </c>
      <c r="O90" s="14"/>
      <c r="P90" s="1">
        <f>SUM(OSRRefP22_8x_0)</f>
        <v>5000</v>
      </c>
      <c r="Q90" s="1"/>
      <c r="R90" s="5">
        <f t="shared" ref="R90:R94" si="43">IF(P$12=0,0,P90/P$12)</f>
        <v>3.2170267083605343E-3</v>
      </c>
      <c r="S90" s="1"/>
      <c r="T90" s="1">
        <f>SUM(OSRRefT22_8x_0)</f>
        <v>5000</v>
      </c>
      <c r="U90" s="1"/>
      <c r="V90" s="5">
        <f t="shared" ref="V90:V94" si="44">IF(T$12=0,0,T90/T$12)</f>
        <v>1.9352204312832254E-3</v>
      </c>
      <c r="W90" s="1"/>
      <c r="X90" s="1">
        <f t="shared" ref="X90:X94" si="45">+P90-T90</f>
        <v>0</v>
      </c>
      <c r="Y90" s="1"/>
      <c r="Z90" s="5">
        <f t="shared" ref="Z90:Z94" si="46">IF(T90=0,0,X90/T90)</f>
        <v>0</v>
      </c>
    </row>
    <row r="91" spans="1:26" s="24" customFormat="1" hidden="1" outlineLevel="2" x14ac:dyDescent="0.25">
      <c r="A91" s="28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39"/>
        <v>0.11731374975804039</v>
      </c>
      <c r="G91" s="2"/>
      <c r="H91" s="6">
        <v>1000</v>
      </c>
      <c r="I91" s="2"/>
      <c r="J91" s="7">
        <f t="shared" si="40"/>
        <v>7.2207379594194529E-2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>
        <v>5000</v>
      </c>
      <c r="Q91" s="2"/>
      <c r="R91" s="7">
        <f t="shared" si="43"/>
        <v>3.2170267083605343E-3</v>
      </c>
      <c r="S91" s="2"/>
      <c r="T91" s="6">
        <v>5000</v>
      </c>
      <c r="U91" s="2"/>
      <c r="V91" s="7">
        <f t="shared" si="44"/>
        <v>1.9352204312832254E-3</v>
      </c>
      <c r="W91" s="2"/>
      <c r="X91" s="6">
        <f t="shared" si="45"/>
        <v>0</v>
      </c>
      <c r="Y91" s="2"/>
      <c r="Z91" s="7">
        <f t="shared" si="46"/>
        <v>0</v>
      </c>
    </row>
    <row r="92" spans="1:26" s="29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22.16</v>
      </c>
      <c r="E92" s="1"/>
      <c r="F92" s="5">
        <f t="shared" si="39"/>
        <v>2.599672694638175E-3</v>
      </c>
      <c r="G92" s="1"/>
      <c r="H92" s="1">
        <f>SUM(OSRRefH22_9x_0)</f>
        <v>140</v>
      </c>
      <c r="I92" s="1"/>
      <c r="J92" s="5">
        <f t="shared" si="40"/>
        <v>1.0109033143187235E-2</v>
      </c>
      <c r="K92" s="1"/>
      <c r="L92" s="1">
        <f t="shared" si="41"/>
        <v>-117.84</v>
      </c>
      <c r="M92" s="1"/>
      <c r="N92" s="5">
        <f t="shared" si="42"/>
        <v>-0.84171428571428575</v>
      </c>
      <c r="O92" s="14"/>
      <c r="P92" s="1">
        <f>SUM(OSRRefP22_9x_0)</f>
        <v>133.63</v>
      </c>
      <c r="Q92" s="1"/>
      <c r="R92" s="5">
        <f t="shared" si="43"/>
        <v>8.5978255807643645E-5</v>
      </c>
      <c r="S92" s="1"/>
      <c r="T92" s="1">
        <f>SUM(OSRRefT22_9x_0)</f>
        <v>700</v>
      </c>
      <c r="U92" s="1"/>
      <c r="V92" s="5">
        <f t="shared" si="44"/>
        <v>2.7093086037965154E-4</v>
      </c>
      <c r="W92" s="1"/>
      <c r="X92" s="1">
        <f t="shared" si="45"/>
        <v>-566.37</v>
      </c>
      <c r="Y92" s="1"/>
      <c r="Z92" s="5">
        <f t="shared" si="46"/>
        <v>-0.80910000000000004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6">
        <v>22.16</v>
      </c>
      <c r="E93" s="2"/>
      <c r="F93" s="7">
        <f t="shared" si="39"/>
        <v>2.599672694638175E-3</v>
      </c>
      <c r="G93" s="2"/>
      <c r="H93" s="6">
        <v>40</v>
      </c>
      <c r="I93" s="2"/>
      <c r="J93" s="7">
        <f t="shared" si="40"/>
        <v>2.8882951837677809E-3</v>
      </c>
      <c r="K93" s="2"/>
      <c r="L93" s="6">
        <f t="shared" si="41"/>
        <v>-17.84</v>
      </c>
      <c r="M93" s="2"/>
      <c r="N93" s="7">
        <f t="shared" si="42"/>
        <v>-0.44600000000000001</v>
      </c>
      <c r="O93" s="11"/>
      <c r="P93" s="6">
        <v>108.52</v>
      </c>
      <c r="Q93" s="2"/>
      <c r="R93" s="7">
        <f t="shared" si="43"/>
        <v>6.9822347678257031E-5</v>
      </c>
      <c r="S93" s="2"/>
      <c r="T93" s="6">
        <v>200</v>
      </c>
      <c r="U93" s="2"/>
      <c r="V93" s="7">
        <f t="shared" si="44"/>
        <v>7.7408817251329017E-5</v>
      </c>
      <c r="W93" s="2"/>
      <c r="X93" s="6">
        <f t="shared" si="45"/>
        <v>-91.48</v>
      </c>
      <c r="Y93" s="2"/>
      <c r="Z93" s="7">
        <f t="shared" si="46"/>
        <v>-0.45740000000000003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9"/>
        <v>0</v>
      </c>
      <c r="G94" s="2"/>
      <c r="H94" s="6">
        <v>100</v>
      </c>
      <c r="I94" s="2"/>
      <c r="J94" s="7">
        <f t="shared" si="40"/>
        <v>7.2207379594194524E-3</v>
      </c>
      <c r="K94" s="2"/>
      <c r="L94" s="6">
        <f t="shared" si="41"/>
        <v>-100</v>
      </c>
      <c r="M94" s="2"/>
      <c r="N94" s="7">
        <f t="shared" si="42"/>
        <v>-1</v>
      </c>
      <c r="O94" s="11"/>
      <c r="P94" s="6">
        <v>25.11</v>
      </c>
      <c r="Q94" s="2"/>
      <c r="R94" s="7">
        <f t="shared" si="43"/>
        <v>1.6155908129386604E-5</v>
      </c>
      <c r="S94" s="2"/>
      <c r="T94" s="6">
        <v>500</v>
      </c>
      <c r="U94" s="2"/>
      <c r="V94" s="7">
        <f t="shared" si="44"/>
        <v>1.9352204312832254E-4</v>
      </c>
      <c r="W94" s="2"/>
      <c r="X94" s="6">
        <f t="shared" si="45"/>
        <v>-474.89</v>
      </c>
      <c r="Y94" s="2"/>
      <c r="Z94" s="7">
        <f t="shared" si="46"/>
        <v>-0.94977999999999996</v>
      </c>
    </row>
    <row r="95" spans="1:26" s="29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SUM(OSRRefD22_10x_0)</f>
        <v>166.92</v>
      </c>
      <c r="E95" s="1"/>
      <c r="F95" s="5">
        <f t="shared" ref="F95:F100" si="47">IF(D$12=0,0,D95/D$12)</f>
        <v>1.9582011109612101E-2</v>
      </c>
      <c r="G95" s="1"/>
      <c r="H95" s="1">
        <f>SUM(OSRRefH22_10x_0)</f>
        <v>300</v>
      </c>
      <c r="I95" s="1"/>
      <c r="J95" s="5">
        <f t="shared" ref="J95:J100" si="48">IF(H$12=0,0,H95/H$12)</f>
        <v>2.1662213878258358E-2</v>
      </c>
      <c r="K95" s="1"/>
      <c r="L95" s="1">
        <f t="shared" ref="L95:L100" si="49">+D95-H95</f>
        <v>-133.08000000000001</v>
      </c>
      <c r="M95" s="1"/>
      <c r="N95" s="5">
        <f t="shared" ref="N95:N100" si="50">IF(H95=0,0,L95/H95)</f>
        <v>-0.44360000000000005</v>
      </c>
      <c r="O95" s="14"/>
      <c r="P95" s="1">
        <f>SUM(OSRRefP22_10x_0)</f>
        <v>1590.28</v>
      </c>
      <c r="Q95" s="1"/>
      <c r="R95" s="5">
        <f t="shared" ref="R95:R100" si="51">IF(P$12=0,0,P95/P$12)</f>
        <v>1.0231946467543181E-3</v>
      </c>
      <c r="S95" s="1"/>
      <c r="T95" s="1">
        <f>SUM(OSRRefT22_10x_0)</f>
        <v>1500</v>
      </c>
      <c r="U95" s="1"/>
      <c r="V95" s="5">
        <f t="shared" ref="V95:V100" si="52">IF(T$12=0,0,T95/T$12)</f>
        <v>5.8056612938496761E-4</v>
      </c>
      <c r="W95" s="1"/>
      <c r="X95" s="1">
        <f t="shared" ref="X95:X100" si="53">+P95-T95</f>
        <v>90.279999999999973</v>
      </c>
      <c r="Y95" s="1"/>
      <c r="Z95" s="5">
        <f t="shared" ref="Z95:Z100" si="54">IF(T95=0,0,X95/T95)</f>
        <v>6.0186666666666645E-2</v>
      </c>
    </row>
    <row r="96" spans="1:26" s="24" customFormat="1" hidden="1" outlineLevel="2" x14ac:dyDescent="0.25">
      <c r="A96" s="28"/>
      <c r="B96" s="11" t="str">
        <f>CONCATENATE("          ", "6258", " - ", "MEMBERSHIP DUES")</f>
        <v xml:space="preserve">          6258 - MEMBERSHIP DUES</v>
      </c>
      <c r="C96" s="11"/>
      <c r="D96" s="6">
        <v>166.92</v>
      </c>
      <c r="E96" s="2"/>
      <c r="F96" s="7">
        <f t="shared" si="47"/>
        <v>1.9582011109612101E-2</v>
      </c>
      <c r="G96" s="2"/>
      <c r="H96" s="6">
        <v>300</v>
      </c>
      <c r="I96" s="2"/>
      <c r="J96" s="7">
        <f t="shared" si="48"/>
        <v>2.1662213878258358E-2</v>
      </c>
      <c r="K96" s="2"/>
      <c r="L96" s="6">
        <f t="shared" si="49"/>
        <v>-133.08000000000001</v>
      </c>
      <c r="M96" s="2"/>
      <c r="N96" s="7">
        <f t="shared" si="50"/>
        <v>-0.44360000000000005</v>
      </c>
      <c r="O96" s="11"/>
      <c r="P96" s="6">
        <v>1590.28</v>
      </c>
      <c r="Q96" s="2"/>
      <c r="R96" s="7">
        <f t="shared" si="51"/>
        <v>1.0231946467543181E-3</v>
      </c>
      <c r="S96" s="2"/>
      <c r="T96" s="6">
        <v>1500</v>
      </c>
      <c r="U96" s="2"/>
      <c r="V96" s="7">
        <f t="shared" si="52"/>
        <v>5.8056612938496761E-4</v>
      </c>
      <c r="W96" s="2"/>
      <c r="X96" s="6">
        <f t="shared" si="53"/>
        <v>90.279999999999973</v>
      </c>
      <c r="Y96" s="2"/>
      <c r="Z96" s="7">
        <f t="shared" si="54"/>
        <v>6.0186666666666645E-2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SUM(OSRRefD22_11x_0)</f>
        <v>311.44</v>
      </c>
      <c r="E97" s="1"/>
      <c r="F97" s="5">
        <f t="shared" si="47"/>
        <v>3.6536194224644103E-2</v>
      </c>
      <c r="G97" s="1"/>
      <c r="H97" s="1">
        <f>SUM(OSRRefH22_11x_0)</f>
        <v>600</v>
      </c>
      <c r="I97" s="1"/>
      <c r="J97" s="5">
        <f t="shared" si="48"/>
        <v>4.3324427756516716E-2</v>
      </c>
      <c r="K97" s="1"/>
      <c r="L97" s="1">
        <f t="shared" si="49"/>
        <v>-288.56</v>
      </c>
      <c r="M97" s="1"/>
      <c r="N97" s="5">
        <f t="shared" si="50"/>
        <v>-0.48093333333333332</v>
      </c>
      <c r="O97" s="14"/>
      <c r="P97" s="1">
        <f>SUM(OSRRefP22_11x_0)</f>
        <v>1546.69</v>
      </c>
      <c r="Q97" s="1"/>
      <c r="R97" s="5">
        <f t="shared" si="51"/>
        <v>9.95148607910831E-4</v>
      </c>
      <c r="S97" s="1"/>
      <c r="T97" s="1">
        <f>SUM(OSRRefT22_11x_0)</f>
        <v>5200</v>
      </c>
      <c r="U97" s="1"/>
      <c r="V97" s="5">
        <f t="shared" si="52"/>
        <v>2.0126292485345542E-3</v>
      </c>
      <c r="W97" s="1"/>
      <c r="X97" s="1">
        <f t="shared" si="53"/>
        <v>-3653.31</v>
      </c>
      <c r="Y97" s="1"/>
      <c r="Z97" s="5">
        <f t="shared" si="54"/>
        <v>-0.70255961538461542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6">
        <v>311.44</v>
      </c>
      <c r="E98" s="2"/>
      <c r="F98" s="7">
        <f t="shared" si="47"/>
        <v>3.6536194224644103E-2</v>
      </c>
      <c r="G98" s="2"/>
      <c r="H98" s="6">
        <v>300</v>
      </c>
      <c r="I98" s="2"/>
      <c r="J98" s="7">
        <f t="shared" si="48"/>
        <v>2.1662213878258358E-2</v>
      </c>
      <c r="K98" s="2"/>
      <c r="L98" s="6">
        <f t="shared" si="49"/>
        <v>11.439999999999998</v>
      </c>
      <c r="M98" s="2"/>
      <c r="N98" s="7">
        <f t="shared" si="50"/>
        <v>3.8133333333333325E-2</v>
      </c>
      <c r="O98" s="11"/>
      <c r="P98" s="6">
        <v>913.59</v>
      </c>
      <c r="Q98" s="2"/>
      <c r="R98" s="7">
        <f t="shared" si="51"/>
        <v>5.8780868609822011E-4</v>
      </c>
      <c r="S98" s="2"/>
      <c r="T98" s="6">
        <v>1800</v>
      </c>
      <c r="U98" s="2"/>
      <c r="V98" s="7">
        <f t="shared" si="52"/>
        <v>6.9667935526196109E-4</v>
      </c>
      <c r="W98" s="2"/>
      <c r="X98" s="6">
        <f t="shared" si="53"/>
        <v>-886.41</v>
      </c>
      <c r="Y98" s="2"/>
      <c r="Z98" s="7">
        <f t="shared" si="54"/>
        <v>-0.49245</v>
      </c>
    </row>
    <row r="99" spans="1:26" s="24" customFormat="1" hidden="1" outlineLevel="2" x14ac:dyDescent="0.25">
      <c r="A99" s="28"/>
      <c r="B99" s="11" t="str">
        <f>CONCATENATE("          ", "6245", " - ", "PRINTING")</f>
        <v xml:space="preserve">          6245 - PRINTING</v>
      </c>
      <c r="C99" s="11"/>
      <c r="D99" s="6"/>
      <c r="E99" s="2"/>
      <c r="F99" s="7">
        <f t="shared" si="47"/>
        <v>0</v>
      </c>
      <c r="G99" s="2"/>
      <c r="H99" s="6">
        <v>100</v>
      </c>
      <c r="I99" s="2"/>
      <c r="J99" s="7">
        <f t="shared" si="48"/>
        <v>7.2207379594194524E-3</v>
      </c>
      <c r="K99" s="2"/>
      <c r="L99" s="6">
        <f t="shared" si="49"/>
        <v>-100</v>
      </c>
      <c r="M99" s="2"/>
      <c r="N99" s="7">
        <f t="shared" si="50"/>
        <v>-1</v>
      </c>
      <c r="O99" s="11"/>
      <c r="P99" s="6"/>
      <c r="Q99" s="2"/>
      <c r="R99" s="7">
        <f t="shared" si="51"/>
        <v>0</v>
      </c>
      <c r="S99" s="2"/>
      <c r="T99" s="6">
        <v>800</v>
      </c>
      <c r="U99" s="2"/>
      <c r="V99" s="7">
        <f t="shared" si="52"/>
        <v>3.0963526900531607E-4</v>
      </c>
      <c r="W99" s="2"/>
      <c r="X99" s="6">
        <f t="shared" si="53"/>
        <v>-800</v>
      </c>
      <c r="Y99" s="2"/>
      <c r="Z99" s="7">
        <f t="shared" si="54"/>
        <v>-1</v>
      </c>
    </row>
    <row r="100" spans="1:26" s="24" customFormat="1" hidden="1" outlineLevel="2" x14ac:dyDescent="0.25">
      <c r="A100" s="28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47"/>
        <v>0</v>
      </c>
      <c r="G100" s="2"/>
      <c r="H100" s="6">
        <v>200</v>
      </c>
      <c r="I100" s="2"/>
      <c r="J100" s="7">
        <f t="shared" si="48"/>
        <v>1.4441475918838905E-2</v>
      </c>
      <c r="K100" s="2"/>
      <c r="L100" s="6">
        <f t="shared" si="49"/>
        <v>-200</v>
      </c>
      <c r="M100" s="2"/>
      <c r="N100" s="7">
        <f t="shared" si="50"/>
        <v>-1</v>
      </c>
      <c r="O100" s="11"/>
      <c r="P100" s="6">
        <v>633.1</v>
      </c>
      <c r="Q100" s="2"/>
      <c r="R100" s="7">
        <f t="shared" si="51"/>
        <v>4.0733992181261089E-4</v>
      </c>
      <c r="S100" s="2"/>
      <c r="T100" s="6">
        <v>2600</v>
      </c>
      <c r="U100" s="2"/>
      <c r="V100" s="7">
        <f t="shared" si="52"/>
        <v>1.0063146242672771E-3</v>
      </c>
      <c r="W100" s="2"/>
      <c r="X100" s="6">
        <f t="shared" si="53"/>
        <v>-1966.9</v>
      </c>
      <c r="Y100" s="2"/>
      <c r="Z100" s="7">
        <f t="shared" si="54"/>
        <v>-0.75650000000000006</v>
      </c>
    </row>
    <row r="101" spans="1:26" s="29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1346.65</v>
      </c>
      <c r="E101" s="1"/>
      <c r="F101" s="5">
        <f t="shared" ref="F101:F103" si="55">IF(D$12=0,0,D101/D$12)</f>
        <v>0.15798056111166511</v>
      </c>
      <c r="G101" s="1"/>
      <c r="H101" s="1">
        <f>SUM(OSRRefH22_12x_0)</f>
        <v>600</v>
      </c>
      <c r="I101" s="1"/>
      <c r="J101" s="5">
        <f t="shared" ref="J101:J103" si="56">IF(H$12=0,0,H101/H$12)</f>
        <v>4.3324427756516716E-2</v>
      </c>
      <c r="K101" s="1"/>
      <c r="L101" s="1">
        <f t="shared" ref="L101:L103" si="57">+D101-H101</f>
        <v>746.65000000000009</v>
      </c>
      <c r="M101" s="1"/>
      <c r="N101" s="5">
        <f t="shared" ref="N101:N103" si="58">IF(H101=0,0,L101/H101)</f>
        <v>1.2444166666666667</v>
      </c>
      <c r="O101" s="14"/>
      <c r="P101" s="1">
        <f>SUM(OSRRefP22_12x_0)</f>
        <v>4580.5</v>
      </c>
      <c r="Q101" s="1"/>
      <c r="R101" s="5">
        <f t="shared" ref="R101:R103" si="59">IF(P$12=0,0,P101/P$12)</f>
        <v>2.9471181675290855E-3</v>
      </c>
      <c r="S101" s="1"/>
      <c r="T101" s="1">
        <f>SUM(OSRRefT22_12x_0)</f>
        <v>4500</v>
      </c>
      <c r="U101" s="1"/>
      <c r="V101" s="5">
        <f t="shared" ref="V101:V103" si="60">IF(T$12=0,0,T101/T$12)</f>
        <v>1.7416983881549028E-3</v>
      </c>
      <c r="W101" s="1"/>
      <c r="X101" s="1">
        <f t="shared" ref="X101:X103" si="61">+P101-T101</f>
        <v>80.5</v>
      </c>
      <c r="Y101" s="1"/>
      <c r="Z101" s="5">
        <f t="shared" ref="Z101:Z103" si="62">IF(T101=0,0,X101/T101)</f>
        <v>1.7888888888888888E-2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6">
        <v>885</v>
      </c>
      <c r="E102" s="2"/>
      <c r="F102" s="7">
        <f t="shared" si="55"/>
        <v>0.10382266853586575</v>
      </c>
      <c r="G102" s="2"/>
      <c r="H102" s="6">
        <v>300</v>
      </c>
      <c r="I102" s="2"/>
      <c r="J102" s="7">
        <f t="shared" si="56"/>
        <v>2.1662213878258358E-2</v>
      </c>
      <c r="K102" s="2"/>
      <c r="L102" s="6">
        <f t="shared" si="57"/>
        <v>585</v>
      </c>
      <c r="M102" s="2"/>
      <c r="N102" s="7">
        <f t="shared" si="58"/>
        <v>1.95</v>
      </c>
      <c r="O102" s="11"/>
      <c r="P102" s="6">
        <v>2065</v>
      </c>
      <c r="Q102" s="2"/>
      <c r="R102" s="7">
        <f t="shared" si="59"/>
        <v>1.3286320305529007E-3</v>
      </c>
      <c r="S102" s="2"/>
      <c r="T102" s="6">
        <v>1500</v>
      </c>
      <c r="U102" s="2"/>
      <c r="V102" s="7">
        <f t="shared" si="60"/>
        <v>5.8056612938496761E-4</v>
      </c>
      <c r="W102" s="2"/>
      <c r="X102" s="6">
        <f t="shared" si="61"/>
        <v>565</v>
      </c>
      <c r="Y102" s="2"/>
      <c r="Z102" s="7">
        <f t="shared" si="62"/>
        <v>0.37666666666666665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461.65</v>
      </c>
      <c r="E103" s="2"/>
      <c r="F103" s="7">
        <f t="shared" si="55"/>
        <v>5.4157892575799345E-2</v>
      </c>
      <c r="G103" s="2"/>
      <c r="H103" s="6">
        <v>300</v>
      </c>
      <c r="I103" s="2"/>
      <c r="J103" s="7">
        <f t="shared" si="56"/>
        <v>2.1662213878258358E-2</v>
      </c>
      <c r="K103" s="2"/>
      <c r="L103" s="6">
        <f t="shared" si="57"/>
        <v>161.64999999999998</v>
      </c>
      <c r="M103" s="2"/>
      <c r="N103" s="7">
        <f t="shared" si="58"/>
        <v>0.53883333333333328</v>
      </c>
      <c r="O103" s="11"/>
      <c r="P103" s="6">
        <v>2515.5</v>
      </c>
      <c r="Q103" s="2"/>
      <c r="R103" s="7">
        <f t="shared" si="59"/>
        <v>1.6184861369761849E-3</v>
      </c>
      <c r="S103" s="2"/>
      <c r="T103" s="6">
        <v>3000</v>
      </c>
      <c r="U103" s="2"/>
      <c r="V103" s="7">
        <f t="shared" si="60"/>
        <v>1.1611322587699352E-3</v>
      </c>
      <c r="W103" s="2"/>
      <c r="X103" s="6">
        <f t="shared" si="61"/>
        <v>-484.5</v>
      </c>
      <c r="Y103" s="2"/>
      <c r="Z103" s="7">
        <f t="shared" si="62"/>
        <v>-0.1615</v>
      </c>
    </row>
    <row r="104" spans="1:26" s="29" customFormat="1" outlineLevel="1" collapsed="1" x14ac:dyDescent="0.25">
      <c r="A104" s="27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SUM(OSRRefD22_13x_0)</f>
        <v>0</v>
      </c>
      <c r="E104" s="1"/>
      <c r="F104" s="5">
        <f t="shared" ref="F104:F105" si="63">IF(D$12=0,0,D104/D$12)</f>
        <v>0</v>
      </c>
      <c r="G104" s="1"/>
      <c r="H104" s="1">
        <f>SUM(OSRRefH22_13x_0)</f>
        <v>0</v>
      </c>
      <c r="I104" s="1"/>
      <c r="J104" s="5">
        <f t="shared" ref="J104:J105" si="64">IF(H$12=0,0,H104/H$12)</f>
        <v>0</v>
      </c>
      <c r="K104" s="1"/>
      <c r="L104" s="1">
        <f t="shared" ref="L104:L105" si="65">+D104-H104</f>
        <v>0</v>
      </c>
      <c r="M104" s="1"/>
      <c r="N104" s="5">
        <f t="shared" ref="N104:N105" si="66">IF(H104=0,0,L104/H104)</f>
        <v>0</v>
      </c>
      <c r="O104" s="14"/>
      <c r="P104" s="1">
        <f>SUM(OSRRefP22_13x_0)</f>
        <v>0.16</v>
      </c>
      <c r="Q104" s="1"/>
      <c r="R104" s="5">
        <f t="shared" ref="R104:R105" si="67">IF(P$12=0,0,P104/P$12)</f>
        <v>1.0294485466753711E-7</v>
      </c>
      <c r="S104" s="1"/>
      <c r="T104" s="1">
        <f>SUM(OSRRefT22_13x_0)</f>
        <v>0</v>
      </c>
      <c r="U104" s="1"/>
      <c r="V104" s="5">
        <f t="shared" ref="V104:V105" si="68">IF(T$12=0,0,T104/T$12)</f>
        <v>0</v>
      </c>
      <c r="W104" s="1"/>
      <c r="X104" s="1">
        <f t="shared" ref="X104:X105" si="69">+P104-T104</f>
        <v>0.16</v>
      </c>
      <c r="Y104" s="1"/>
      <c r="Z104" s="5">
        <f t="shared" ref="Z104:Z105" si="70">IF(T104=0,0,X104/T104)</f>
        <v>0</v>
      </c>
    </row>
    <row r="105" spans="1:26" s="24" customFormat="1" hidden="1" outlineLevel="2" x14ac:dyDescent="0.25">
      <c r="A105" s="28"/>
      <c r="B105" s="11" t="str">
        <f>CONCATENATE("          ", "6292", " - ", "TRAVEL/CONFERENCE")</f>
        <v xml:space="preserve">          6292 - TRAVEL/CONFERENCE</v>
      </c>
      <c r="C105" s="11"/>
      <c r="D105" s="6"/>
      <c r="E105" s="2"/>
      <c r="F105" s="7">
        <f t="shared" si="63"/>
        <v>0</v>
      </c>
      <c r="G105" s="2"/>
      <c r="H105" s="6"/>
      <c r="I105" s="2"/>
      <c r="J105" s="7">
        <f t="shared" si="64"/>
        <v>0</v>
      </c>
      <c r="K105" s="2"/>
      <c r="L105" s="6">
        <f t="shared" si="65"/>
        <v>0</v>
      </c>
      <c r="M105" s="2"/>
      <c r="N105" s="7">
        <f t="shared" si="66"/>
        <v>0</v>
      </c>
      <c r="O105" s="11"/>
      <c r="P105" s="6">
        <v>0.16</v>
      </c>
      <c r="Q105" s="2"/>
      <c r="R105" s="7">
        <f t="shared" si="67"/>
        <v>1.0294485466753711E-7</v>
      </c>
      <c r="S105" s="2"/>
      <c r="T105" s="6"/>
      <c r="U105" s="2"/>
      <c r="V105" s="7">
        <f t="shared" si="68"/>
        <v>0</v>
      </c>
      <c r="W105" s="2"/>
      <c r="X105" s="6">
        <f t="shared" si="69"/>
        <v>0.16</v>
      </c>
      <c r="Y105" s="2"/>
      <c r="Z105" s="7">
        <f t="shared" si="70"/>
        <v>0</v>
      </c>
    </row>
    <row r="106" spans="1:26" s="62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6" t="s">
        <v>0</v>
      </c>
      <c r="C107" s="10"/>
      <c r="D107" s="4">
        <f>SUM(OSRRefD25x_0)</f>
        <v>917.38</v>
      </c>
      <c r="E107" s="4"/>
      <c r="F107" s="12">
        <f t="shared" ref="F107:F110" si="71">IF(D$12=0,0,D107/D$12)</f>
        <v>0.10762128775303109</v>
      </c>
      <c r="G107" s="4"/>
      <c r="H107" s="4">
        <f>SUM(OSRRefH25x_0)</f>
        <v>600</v>
      </c>
      <c r="I107" s="4"/>
      <c r="J107" s="12">
        <f t="shared" ref="J107:J110" si="72">IF(H$12=0,0,H107/H$12)</f>
        <v>4.3324427756516716E-2</v>
      </c>
      <c r="K107" s="4"/>
      <c r="L107" s="4">
        <f t="shared" ref="L107:L110" si="73">+D107-H107</f>
        <v>317.38</v>
      </c>
      <c r="M107" s="4"/>
      <c r="N107" s="12">
        <f t="shared" ref="N107:N110" si="74">IF(H107=0,0,L107/H107)</f>
        <v>0.5289666666666667</v>
      </c>
      <c r="O107" s="10"/>
      <c r="P107" s="4">
        <f>SUM(OSRRefP25x_0)</f>
        <v>162085.57000000004</v>
      </c>
      <c r="Q107" s="4"/>
      <c r="R107" s="12">
        <f t="shared" ref="R107:R110" si="75">IF(P$12=0,0,P107/P$12)</f>
        <v>0.10428672154596823</v>
      </c>
      <c r="S107" s="4"/>
      <c r="T107" s="4">
        <f>SUM(OSRRefT25x_0)</f>
        <v>102759</v>
      </c>
      <c r="U107" s="4"/>
      <c r="V107" s="12">
        <f t="shared" ref="V107:V110" si="76">IF(T$12=0,0,T107/T$12)</f>
        <v>3.9772263259646591E-2</v>
      </c>
      <c r="W107" s="4"/>
      <c r="X107" s="4">
        <f t="shared" ref="X107:X110" si="77">+P107-T107</f>
        <v>59326.570000000036</v>
      </c>
      <c r="Y107" s="4"/>
      <c r="Z107" s="12">
        <f t="shared" ref="Z107:Z110" si="78">IF(T107=0,0,X107/T107)</f>
        <v>0.57733697291721442</v>
      </c>
    </row>
    <row r="108" spans="1:26" s="24" customFormat="1" hidden="1" outlineLevel="1" x14ac:dyDescent="0.25">
      <c r="A108" s="51"/>
      <c r="B108" s="11" t="str">
        <f>CONCATENATE("          ", "9150", " - ", "MISC. INCOME")</f>
        <v xml:space="preserve">          9150 - MISC. INCOME</v>
      </c>
      <c r="C108" s="11"/>
      <c r="D108" s="2">
        <f>--662.17</f>
        <v>662.17</v>
      </c>
      <c r="E108" s="2"/>
      <c r="F108" s="22">
        <f t="shared" si="71"/>
        <v>7.7681645677281599E-2</v>
      </c>
      <c r="G108" s="2"/>
      <c r="H108" s="2">
        <v>600</v>
      </c>
      <c r="I108" s="2"/>
      <c r="J108" s="22">
        <f t="shared" si="72"/>
        <v>4.3324427756516716E-2</v>
      </c>
      <c r="K108" s="2"/>
      <c r="L108" s="2">
        <f t="shared" si="73"/>
        <v>62.169999999999959</v>
      </c>
      <c r="M108" s="2"/>
      <c r="N108" s="22">
        <f t="shared" si="74"/>
        <v>0.10361666666666659</v>
      </c>
      <c r="O108" s="11"/>
      <c r="P108" s="2">
        <f>--12193.95</f>
        <v>12193.95</v>
      </c>
      <c r="Q108" s="2"/>
      <c r="R108" s="22">
        <f t="shared" si="75"/>
        <v>7.8456525660825886E-3</v>
      </c>
      <c r="S108" s="2"/>
      <c r="T108" s="2">
        <v>10500</v>
      </c>
      <c r="U108" s="2"/>
      <c r="V108" s="22">
        <f t="shared" si="76"/>
        <v>4.0639629056947735E-3</v>
      </c>
      <c r="W108" s="2"/>
      <c r="X108" s="2">
        <f t="shared" si="77"/>
        <v>1693.9500000000007</v>
      </c>
      <c r="Y108" s="2"/>
      <c r="Z108" s="22">
        <f t="shared" si="78"/>
        <v>0.16132857142857149</v>
      </c>
    </row>
    <row r="109" spans="1:26" s="24" customFormat="1" hidden="1" outlineLevel="1" x14ac:dyDescent="0.25">
      <c r="A109" s="51"/>
      <c r="B109" s="11" t="str">
        <f>CONCATENATE("          ", "9151", " - ", "MISC. INCOME")</f>
        <v xml:space="preserve">          9151 - MISC. INCOME</v>
      </c>
      <c r="C109" s="11"/>
      <c r="D109" s="2">
        <f>0</f>
        <v>0</v>
      </c>
      <c r="E109" s="2"/>
      <c r="F109" s="22">
        <f t="shared" si="71"/>
        <v>0</v>
      </c>
      <c r="G109" s="2"/>
      <c r="H109" s="2"/>
      <c r="I109" s="2"/>
      <c r="J109" s="22">
        <f t="shared" si="72"/>
        <v>0</v>
      </c>
      <c r="K109" s="2"/>
      <c r="L109" s="2">
        <f t="shared" si="73"/>
        <v>0</v>
      </c>
      <c r="M109" s="2"/>
      <c r="N109" s="22">
        <f t="shared" si="74"/>
        <v>0</v>
      </c>
      <c r="O109" s="11"/>
      <c r="P109" s="2">
        <f>--147285.39</f>
        <v>147285.39000000001</v>
      </c>
      <c r="Q109" s="2"/>
      <c r="R109" s="22">
        <f t="shared" si="75"/>
        <v>9.4764206676259524E-2</v>
      </c>
      <c r="S109" s="2"/>
      <c r="T109" s="2">
        <v>92259</v>
      </c>
      <c r="U109" s="2"/>
      <c r="V109" s="22">
        <f t="shared" si="76"/>
        <v>3.5708300353951818E-2</v>
      </c>
      <c r="W109" s="2"/>
      <c r="X109" s="2">
        <f t="shared" si="77"/>
        <v>55026.390000000014</v>
      </c>
      <c r="Y109" s="2"/>
      <c r="Z109" s="22">
        <f t="shared" si="78"/>
        <v>0.59643384385263243</v>
      </c>
    </row>
    <row r="110" spans="1:26" s="24" customFormat="1" hidden="1" outlineLevel="1" x14ac:dyDescent="0.25">
      <c r="A110" s="51"/>
      <c r="B110" s="11" t="str">
        <f>CONCATENATE("          ", "9152", " - ", "MISC. INCOME")</f>
        <v xml:space="preserve">          9152 - MISC. INCOME</v>
      </c>
      <c r="C110" s="11"/>
      <c r="D110" s="2">
        <f>--255.21</f>
        <v>255.21</v>
      </c>
      <c r="E110" s="2"/>
      <c r="F110" s="22">
        <f t="shared" si="71"/>
        <v>2.9939642075749489E-2</v>
      </c>
      <c r="G110" s="2"/>
      <c r="H110" s="2"/>
      <c r="I110" s="2"/>
      <c r="J110" s="22">
        <f t="shared" si="72"/>
        <v>0</v>
      </c>
      <c r="K110" s="2"/>
      <c r="L110" s="2">
        <f t="shared" si="73"/>
        <v>255.21</v>
      </c>
      <c r="M110" s="2"/>
      <c r="N110" s="22">
        <f t="shared" si="74"/>
        <v>0</v>
      </c>
      <c r="O110" s="11"/>
      <c r="P110" s="2">
        <f>--2606.23</f>
        <v>2606.23</v>
      </c>
      <c r="Q110" s="2"/>
      <c r="R110" s="22">
        <f t="shared" si="75"/>
        <v>1.6768623036260951E-3</v>
      </c>
      <c r="S110" s="2"/>
      <c r="T110" s="2"/>
      <c r="U110" s="2"/>
      <c r="V110" s="22">
        <f t="shared" si="76"/>
        <v>0</v>
      </c>
      <c r="W110" s="2"/>
      <c r="X110" s="2">
        <f t="shared" si="77"/>
        <v>2606.23</v>
      </c>
      <c r="Y110" s="2"/>
      <c r="Z110" s="22">
        <f t="shared" si="78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3</v>
      </c>
      <c r="C112" s="25"/>
      <c r="D112" s="21">
        <f>+D52-D54+D107</f>
        <v>-40296.010000000046</v>
      </c>
      <c r="E112" s="13"/>
      <c r="F112" s="20">
        <f>IF(D$12=0,0,D112/D$12)</f>
        <v>-4.7272760333874988</v>
      </c>
      <c r="G112" s="13"/>
      <c r="H112" s="21">
        <f>+H52-H54+H107</f>
        <v>-38733.671973861528</v>
      </c>
      <c r="I112" s="13"/>
      <c r="J112" s="20">
        <f>IF(H$12=0,0,H112/H$12)</f>
        <v>-2.7968569552936335</v>
      </c>
      <c r="K112" s="16"/>
      <c r="L112" s="21">
        <f>+D112-H112</f>
        <v>-1562.3380261385173</v>
      </c>
      <c r="M112" s="16"/>
      <c r="N112" s="20">
        <f>IF(H112=0,0,L112/H112)</f>
        <v>4.0335396736793323E-2</v>
      </c>
      <c r="O112" s="26"/>
      <c r="P112" s="21">
        <f>+P52-P54+P107</f>
        <v>390143.54999999964</v>
      </c>
      <c r="Q112" s="13"/>
      <c r="R112" s="20">
        <f>IF(P$12=0,0,P112/P$12)</f>
        <v>0.25102044408891849</v>
      </c>
      <c r="S112" s="13"/>
      <c r="T112" s="21">
        <f>+T52-T54+T107</f>
        <v>541704.27589376154</v>
      </c>
      <c r="U112" s="13"/>
      <c r="V112" s="20">
        <f>IF(T$12=0,0,T112/T$12)</f>
        <v>0.20966343648461849</v>
      </c>
      <c r="W112" s="16"/>
      <c r="X112" s="21">
        <f>+P112-T112</f>
        <v>-151560.7258937619</v>
      </c>
      <c r="Y112" s="16"/>
      <c r="Z112" s="20">
        <f>IF(T112=0,0,X112/T112)</f>
        <v>-0.27978499088584974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-87872.349999999991</v>
      </c>
      <c r="E114" s="4"/>
      <c r="F114" s="12">
        <f>IF(D$12=0,0,D114/D$12)</f>
        <v>-10.30863487855094</v>
      </c>
      <c r="G114" s="4"/>
      <c r="H114" s="4">
        <v>40068</v>
      </c>
      <c r="I114" s="4"/>
      <c r="J114" s="12">
        <f>IF(H$12=0,0,H114/H$12)</f>
        <v>2.8932052855801862</v>
      </c>
      <c r="K114" s="4"/>
      <c r="L114" s="4">
        <f>+D114-H114</f>
        <v>-127940.34999999999</v>
      </c>
      <c r="M114" s="4"/>
      <c r="N114" s="12">
        <f>IF(H114=0,0,L114/H114)</f>
        <v>-3.1930805131276827</v>
      </c>
      <c r="O114" s="10"/>
      <c r="P114" s="4">
        <v>246960.86</v>
      </c>
      <c r="Q114" s="4"/>
      <c r="R114" s="12">
        <f>IF(P$12=0,0,P114/P$12)</f>
        <v>0.15889593650793735</v>
      </c>
      <c r="S114" s="4"/>
      <c r="T114" s="4">
        <v>460801</v>
      </c>
      <c r="U114" s="4"/>
      <c r="V114" s="12">
        <f>IF(T$12=0,0,T114/T$12)</f>
        <v>0.17835030199114829</v>
      </c>
      <c r="W114" s="4"/>
      <c r="X114" s="4">
        <f>+P114-T114</f>
        <v>-213840.14</v>
      </c>
      <c r="Y114" s="4"/>
      <c r="Z114" s="12">
        <f>IF(T114=0,0,X114/T114)</f>
        <v>-0.46406179674089254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5" t="s">
        <v>4</v>
      </c>
      <c r="C116" s="25"/>
      <c r="D116" s="31">
        <f>+D112-D114</f>
        <v>47576.339999999946</v>
      </c>
      <c r="E116" s="13"/>
      <c r="F116" s="34">
        <f>IF(D$12=0,0,D116/D$12)</f>
        <v>5.5813588451634413</v>
      </c>
      <c r="G116" s="13"/>
      <c r="H116" s="31">
        <f>+H112-H114</f>
        <v>-78801.671973861521</v>
      </c>
      <c r="I116" s="13"/>
      <c r="J116" s="34">
        <f>IF(H$12=0,0,H116/H$12)</f>
        <v>-5.6900622408738188</v>
      </c>
      <c r="K116" s="16"/>
      <c r="L116" s="31">
        <f>D116-H116</f>
        <v>126378.01197386146</v>
      </c>
      <c r="M116" s="16"/>
      <c r="N116" s="34">
        <f>IF(H116=0,0,L116/H116)</f>
        <v>-1.6037478496113762</v>
      </c>
      <c r="O116" s="26"/>
      <c r="P116" s="31">
        <f>+P112-P114</f>
        <v>143182.68999999965</v>
      </c>
      <c r="Q116" s="13"/>
      <c r="R116" s="34">
        <f>IF(P$12=0,0,P116/P$12)</f>
        <v>9.2124507580981133E-2</v>
      </c>
      <c r="S116" s="13"/>
      <c r="T116" s="31">
        <f>+T112-T114</f>
        <v>80903.275893761544</v>
      </c>
      <c r="U116" s="13"/>
      <c r="V116" s="34">
        <f>IF(T$12=0,0,T116/T$12)</f>
        <v>3.1313134493470195E-2</v>
      </c>
      <c r="W116" s="16"/>
      <c r="X116" s="31">
        <f>P116-T116</f>
        <v>62279.41410623811</v>
      </c>
      <c r="Y116" s="16"/>
      <c r="Z116" s="34">
        <f>IF(T116=0,0,X116/T116)</f>
        <v>0.76980089394674911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5" t="s">
        <v>5</v>
      </c>
      <c r="C119" s="25"/>
      <c r="D119" s="33">
        <f>SUM(D116:D118)</f>
        <v>47576.339999999946</v>
      </c>
      <c r="E119" s="13"/>
      <c r="F119" s="30">
        <f>IF(D$12=0,0,D119/D$12)</f>
        <v>5.5813588451634413</v>
      </c>
      <c r="G119" s="13"/>
      <c r="H119" s="33">
        <f>SUM(H116:H118)</f>
        <v>-78801.671973861521</v>
      </c>
      <c r="I119" s="13"/>
      <c r="J119" s="30">
        <f>IF(H$12=0,0,H119/H$12)</f>
        <v>-5.6900622408738188</v>
      </c>
      <c r="K119" s="16"/>
      <c r="L119" s="33">
        <f>+D119-H119</f>
        <v>126378.01197386146</v>
      </c>
      <c r="M119" s="16"/>
      <c r="N119" s="30">
        <f>IF(H119=0,0,L119/H119)</f>
        <v>-1.6037478496113762</v>
      </c>
      <c r="O119" s="26"/>
      <c r="P119" s="33">
        <f>SUM(P116:P118)</f>
        <v>143182.68999999965</v>
      </c>
      <c r="Q119" s="13"/>
      <c r="R119" s="30">
        <f>IF(P$12=0,0,P119/P$12)</f>
        <v>9.2124507580981133E-2</v>
      </c>
      <c r="S119" s="13"/>
      <c r="T119" s="33">
        <f>SUM(T116:T118)</f>
        <v>80903.275893761544</v>
      </c>
      <c r="U119" s="13"/>
      <c r="V119" s="30">
        <f>IF(T$12=0,0,T119/T$12)</f>
        <v>3.1313134493470195E-2</v>
      </c>
      <c r="W119" s="16"/>
      <c r="X119" s="33">
        <f>+P119-T119</f>
        <v>62279.41410623811</v>
      </c>
      <c r="Y119" s="16"/>
      <c r="Z119" s="30">
        <f>IF(T119=0,0,X119/T119)</f>
        <v>0.76980089394674911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55">
        <v>44174.679127314812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7" t="s">
        <v>314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3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6442.6599999999971</v>
      </c>
      <c r="E12" s="4"/>
      <c r="F12" s="12"/>
      <c r="G12" s="4"/>
      <c r="H12" s="4">
        <f>SUM(OSRRefH13x_0)</f>
        <v>12470</v>
      </c>
      <c r="I12" s="4"/>
      <c r="J12" s="12"/>
      <c r="K12" s="4"/>
      <c r="L12" s="4">
        <f t="shared" ref="L12:L32" si="0">+D12-H12</f>
        <v>-6027.3400000000029</v>
      </c>
      <c r="M12" s="4"/>
      <c r="N12" s="12">
        <f t="shared" ref="N12:N32" si="1">IF(H12=0,0,L12/H12)</f>
        <v>-0.48334723336006441</v>
      </c>
      <c r="O12" s="10"/>
      <c r="P12" s="4">
        <f>SUM(OSRRefP13x_0)</f>
        <v>1082108.2399999998</v>
      </c>
      <c r="Q12" s="4"/>
      <c r="R12" s="12"/>
      <c r="S12" s="4"/>
      <c r="T12" s="4">
        <f>SUM(OSRRefT13x_0)</f>
        <v>1771151</v>
      </c>
      <c r="U12" s="4"/>
      <c r="V12" s="12"/>
      <c r="W12" s="4"/>
      <c r="X12" s="4">
        <f t="shared" ref="X12:X32" si="2">+P12-T12</f>
        <v>-689042.76000000024</v>
      </c>
      <c r="Y12" s="4"/>
      <c r="Z12" s="12">
        <f t="shared" ref="Z12:Z32" si="3">IF(T12=0,0,X12/T12)</f>
        <v>-0.38903671115562716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-229.05</f>
        <v>-229.05</v>
      </c>
      <c r="E13" s="2"/>
      <c r="F13" s="22"/>
      <c r="G13" s="2"/>
      <c r="H13" s="2">
        <v>12470</v>
      </c>
      <c r="I13" s="2"/>
      <c r="J13" s="22"/>
      <c r="K13" s="2"/>
      <c r="L13" s="2">
        <f t="shared" si="0"/>
        <v>-12699.05</v>
      </c>
      <c r="M13" s="2"/>
      <c r="N13" s="22">
        <f t="shared" si="1"/>
        <v>-1.0183680834001603</v>
      </c>
      <c r="O13" s="11"/>
      <c r="P13" s="2">
        <f>-6599.87</f>
        <v>-6599.87</v>
      </c>
      <c r="Q13" s="2"/>
      <c r="R13" s="22"/>
      <c r="S13" s="2"/>
      <c r="T13" s="2">
        <v>1771151</v>
      </c>
      <c r="U13" s="2"/>
      <c r="V13" s="22"/>
      <c r="W13" s="2"/>
      <c r="X13" s="2">
        <f t="shared" si="2"/>
        <v>-1777750.87</v>
      </c>
      <c r="Y13" s="2"/>
      <c r="Z13" s="22">
        <f t="shared" si="3"/>
        <v>-1.0037263169543422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--6335.4</f>
        <v>6335.4</v>
      </c>
      <c r="E14" s="2"/>
      <c r="F14" s="22"/>
      <c r="G14" s="2"/>
      <c r="H14" s="2"/>
      <c r="I14" s="2"/>
      <c r="J14" s="22"/>
      <c r="K14" s="2"/>
      <c r="L14" s="2">
        <f t="shared" si="0"/>
        <v>6335.4</v>
      </c>
      <c r="M14" s="2"/>
      <c r="N14" s="22">
        <f t="shared" si="1"/>
        <v>0</v>
      </c>
      <c r="O14" s="11"/>
      <c r="P14" s="2">
        <f>--546434.01</f>
        <v>546434.01</v>
      </c>
      <c r="Q14" s="2"/>
      <c r="R14" s="22"/>
      <c r="S14" s="2"/>
      <c r="T14" s="2"/>
      <c r="U14" s="2"/>
      <c r="V14" s="22"/>
      <c r="W14" s="2"/>
      <c r="X14" s="2">
        <f t="shared" si="2"/>
        <v>546434.01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--1225.27</f>
        <v>1225.27</v>
      </c>
      <c r="E15" s="2"/>
      <c r="F15" s="22"/>
      <c r="G15" s="2"/>
      <c r="H15" s="2"/>
      <c r="I15" s="2"/>
      <c r="J15" s="22"/>
      <c r="K15" s="2"/>
      <c r="L15" s="2">
        <f t="shared" si="0"/>
        <v>1225.27</v>
      </c>
      <c r="M15" s="2"/>
      <c r="N15" s="22">
        <f t="shared" si="1"/>
        <v>0</v>
      </c>
      <c r="O15" s="11"/>
      <c r="P15" s="2">
        <f>--187033.11</f>
        <v>187033.11</v>
      </c>
      <c r="Q15" s="2"/>
      <c r="R15" s="22"/>
      <c r="S15" s="2"/>
      <c r="T15" s="2"/>
      <c r="U15" s="2"/>
      <c r="V15" s="22"/>
      <c r="W15" s="2"/>
      <c r="X15" s="2">
        <f t="shared" si="2"/>
        <v>187033.11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--307.75</f>
        <v>307.75</v>
      </c>
      <c r="E18" s="2"/>
      <c r="F18" s="22"/>
      <c r="G18" s="2"/>
      <c r="H18" s="2"/>
      <c r="I18" s="2"/>
      <c r="J18" s="22"/>
      <c r="K18" s="2"/>
      <c r="L18" s="2">
        <f t="shared" si="0"/>
        <v>307.75</v>
      </c>
      <c r="M18" s="2"/>
      <c r="N18" s="22">
        <f t="shared" si="1"/>
        <v>0</v>
      </c>
      <c r="O18" s="11"/>
      <c r="P18" s="2">
        <f>--505.12</f>
        <v>505.12</v>
      </c>
      <c r="Q18" s="2"/>
      <c r="R18" s="22"/>
      <c r="S18" s="2"/>
      <c r="T18" s="2"/>
      <c r="U18" s="2"/>
      <c r="V18" s="22"/>
      <c r="W18" s="2"/>
      <c r="X18" s="2">
        <f t="shared" si="2"/>
        <v>505.12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--340.24</f>
        <v>340.24</v>
      </c>
      <c r="Q19" s="2"/>
      <c r="R19" s="22"/>
      <c r="S19" s="2"/>
      <c r="T19" s="2"/>
      <c r="U19" s="2"/>
      <c r="V19" s="22"/>
      <c r="W19" s="2"/>
      <c r="X19" s="2">
        <f t="shared" si="2"/>
        <v>340.24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--1270.83</f>
        <v>1270.83</v>
      </c>
      <c r="E21" s="2"/>
      <c r="F21" s="22"/>
      <c r="G21" s="2"/>
      <c r="H21" s="2"/>
      <c r="I21" s="2"/>
      <c r="J21" s="22"/>
      <c r="K21" s="2"/>
      <c r="L21" s="2">
        <f t="shared" si="0"/>
        <v>1270.83</v>
      </c>
      <c r="M21" s="2"/>
      <c r="N21" s="22">
        <f t="shared" si="1"/>
        <v>0</v>
      </c>
      <c r="O21" s="11"/>
      <c r="P21" s="2">
        <f>--78935.72</f>
        <v>78935.72</v>
      </c>
      <c r="Q21" s="2"/>
      <c r="R21" s="22"/>
      <c r="S21" s="2"/>
      <c r="T21" s="2"/>
      <c r="U21" s="2"/>
      <c r="V21" s="22"/>
      <c r="W21" s="2"/>
      <c r="X21" s="2">
        <f t="shared" si="2"/>
        <v>78935.72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--320.72</f>
        <v>320.72000000000003</v>
      </c>
      <c r="E22" s="2"/>
      <c r="F22" s="22"/>
      <c r="G22" s="2"/>
      <c r="H22" s="2"/>
      <c r="I22" s="2"/>
      <c r="J22" s="22"/>
      <c r="K22" s="2"/>
      <c r="L22" s="2">
        <f t="shared" si="0"/>
        <v>320.72000000000003</v>
      </c>
      <c r="M22" s="2"/>
      <c r="N22" s="22">
        <f t="shared" si="1"/>
        <v>0</v>
      </c>
      <c r="O22" s="11"/>
      <c r="P22" s="2">
        <f>--33033.19</f>
        <v>33033.19</v>
      </c>
      <c r="Q22" s="2"/>
      <c r="R22" s="22"/>
      <c r="S22" s="2"/>
      <c r="T22" s="2"/>
      <c r="U22" s="2"/>
      <c r="V22" s="22"/>
      <c r="W22" s="2"/>
      <c r="X22" s="2">
        <f t="shared" si="2"/>
        <v>33033.19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--284.97</f>
        <v>284.97000000000003</v>
      </c>
      <c r="Q23" s="2"/>
      <c r="R23" s="22"/>
      <c r="S23" s="2"/>
      <c r="T23" s="2"/>
      <c r="U23" s="2"/>
      <c r="V23" s="22"/>
      <c r="W23" s="2"/>
      <c r="X23" s="2">
        <f t="shared" si="2"/>
        <v>284.97000000000003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--1414.19</f>
        <v>1414.19</v>
      </c>
      <c r="E24" s="2"/>
      <c r="F24" s="22"/>
      <c r="G24" s="2"/>
      <c r="H24" s="2"/>
      <c r="I24" s="2"/>
      <c r="J24" s="22"/>
      <c r="K24" s="2"/>
      <c r="L24" s="2">
        <f t="shared" si="0"/>
        <v>1414.19</v>
      </c>
      <c r="M24" s="2"/>
      <c r="N24" s="22">
        <f t="shared" si="1"/>
        <v>0</v>
      </c>
      <c r="O24" s="11"/>
      <c r="P24" s="2">
        <f>--294889.71</f>
        <v>294889.71000000002</v>
      </c>
      <c r="Q24" s="2"/>
      <c r="R24" s="22"/>
      <c r="S24" s="2"/>
      <c r="T24" s="2"/>
      <c r="U24" s="2"/>
      <c r="V24" s="22"/>
      <c r="W24" s="2"/>
      <c r="X24" s="2">
        <f t="shared" si="2"/>
        <v>294889.71000000002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--630</f>
        <v>630</v>
      </c>
      <c r="E25" s="2"/>
      <c r="F25" s="22"/>
      <c r="G25" s="2"/>
      <c r="H25" s="2"/>
      <c r="I25" s="2"/>
      <c r="J25" s="22"/>
      <c r="K25" s="2"/>
      <c r="L25" s="2">
        <f t="shared" si="0"/>
        <v>630</v>
      </c>
      <c r="M25" s="2"/>
      <c r="N25" s="22">
        <f t="shared" si="1"/>
        <v>0</v>
      </c>
      <c r="O25" s="11"/>
      <c r="P25" s="2">
        <f>--2285.95</f>
        <v>2285.9499999999998</v>
      </c>
      <c r="Q25" s="2"/>
      <c r="R25" s="22"/>
      <c r="S25" s="2"/>
      <c r="T25" s="2"/>
      <c r="U25" s="2"/>
      <c r="V25" s="22"/>
      <c r="W25" s="2"/>
      <c r="X25" s="2">
        <f t="shared" si="2"/>
        <v>2285.9499999999998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--27.8</f>
        <v>27.8</v>
      </c>
      <c r="E26" s="2"/>
      <c r="F26" s="22"/>
      <c r="G26" s="2"/>
      <c r="H26" s="2"/>
      <c r="I26" s="2"/>
      <c r="J26" s="22"/>
      <c r="K26" s="2"/>
      <c r="L26" s="2">
        <f t="shared" si="0"/>
        <v>27.8</v>
      </c>
      <c r="M26" s="2"/>
      <c r="N26" s="22">
        <f t="shared" si="1"/>
        <v>0</v>
      </c>
      <c r="O26" s="11"/>
      <c r="P26" s="2">
        <f>--233.43</f>
        <v>233.43</v>
      </c>
      <c r="Q26" s="2"/>
      <c r="R26" s="22"/>
      <c r="S26" s="2"/>
      <c r="T26" s="2"/>
      <c r="U26" s="2"/>
      <c r="V26" s="22"/>
      <c r="W26" s="2"/>
      <c r="X26" s="2">
        <f t="shared" si="2"/>
        <v>233.43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-1333.42</f>
        <v>-1333.42</v>
      </c>
      <c r="E27" s="2"/>
      <c r="F27" s="22"/>
      <c r="G27" s="2"/>
      <c r="H27" s="2"/>
      <c r="I27" s="2"/>
      <c r="J27" s="22"/>
      <c r="K27" s="2"/>
      <c r="L27" s="2">
        <f t="shared" si="0"/>
        <v>-1333.42</v>
      </c>
      <c r="M27" s="2"/>
      <c r="N27" s="22">
        <f t="shared" si="1"/>
        <v>0</v>
      </c>
      <c r="O27" s="11"/>
      <c r="P27" s="2">
        <f>-35094.66</f>
        <v>-35094.660000000003</v>
      </c>
      <c r="Q27" s="2"/>
      <c r="R27" s="22"/>
      <c r="S27" s="2"/>
      <c r="T27" s="2"/>
      <c r="U27" s="2"/>
      <c r="V27" s="22"/>
      <c r="W27" s="2"/>
      <c r="X27" s="2">
        <f t="shared" si="2"/>
        <v>-35094.660000000003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-3274.35</f>
        <v>-3274.35</v>
      </c>
      <c r="E28" s="2"/>
      <c r="F28" s="22"/>
      <c r="G28" s="2"/>
      <c r="H28" s="2"/>
      <c r="I28" s="2"/>
      <c r="J28" s="22"/>
      <c r="K28" s="2"/>
      <c r="L28" s="2">
        <f t="shared" si="0"/>
        <v>-3274.35</v>
      </c>
      <c r="M28" s="2"/>
      <c r="N28" s="22">
        <f t="shared" si="1"/>
        <v>0</v>
      </c>
      <c r="O28" s="11"/>
      <c r="P28" s="2">
        <f>-13803.35</f>
        <v>-13803.35</v>
      </c>
      <c r="Q28" s="2"/>
      <c r="R28" s="22"/>
      <c r="S28" s="2"/>
      <c r="T28" s="2"/>
      <c r="U28" s="2"/>
      <c r="V28" s="22"/>
      <c r="W28" s="2"/>
      <c r="X28" s="2">
        <f t="shared" si="2"/>
        <v>-13803.35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ref="D29:D30" si="6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-1630.85</f>
        <v>-1630.85</v>
      </c>
      <c r="Q29" s="2"/>
      <c r="R29" s="22"/>
      <c r="S29" s="2"/>
      <c r="T29" s="2"/>
      <c r="U29" s="2"/>
      <c r="V29" s="22"/>
      <c r="W29" s="2"/>
      <c r="X29" s="2">
        <f t="shared" si="2"/>
        <v>-1630.85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 t="shared" si="6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-2376.17</f>
        <v>-2376.17</v>
      </c>
      <c r="Q30" s="2"/>
      <c r="R30" s="22"/>
      <c r="S30" s="2"/>
      <c r="T30" s="2"/>
      <c r="U30" s="2"/>
      <c r="V30" s="22"/>
      <c r="W30" s="2"/>
      <c r="X30" s="2">
        <f t="shared" si="2"/>
        <v>-2376.17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>-76.05</f>
        <v>-76.05</v>
      </c>
      <c r="E31" s="2"/>
      <c r="F31" s="22"/>
      <c r="G31" s="2"/>
      <c r="H31" s="2"/>
      <c r="I31" s="2"/>
      <c r="J31" s="22"/>
      <c r="K31" s="2"/>
      <c r="L31" s="2">
        <f t="shared" si="0"/>
        <v>-76.05</v>
      </c>
      <c r="M31" s="2"/>
      <c r="N31" s="22">
        <f t="shared" si="1"/>
        <v>0</v>
      </c>
      <c r="O31" s="11"/>
      <c r="P31" s="2">
        <f>-1392.85</f>
        <v>-1392.85</v>
      </c>
      <c r="Q31" s="2"/>
      <c r="R31" s="22"/>
      <c r="S31" s="2"/>
      <c r="T31" s="2"/>
      <c r="U31" s="2"/>
      <c r="V31" s="22"/>
      <c r="W31" s="2"/>
      <c r="X31" s="2">
        <f t="shared" si="2"/>
        <v>-1392.85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>-176.43</f>
        <v>-176.43</v>
      </c>
      <c r="E32" s="2"/>
      <c r="F32" s="22"/>
      <c r="G32" s="2"/>
      <c r="H32" s="2"/>
      <c r="I32" s="2"/>
      <c r="J32" s="22"/>
      <c r="K32" s="2"/>
      <c r="L32" s="2">
        <f t="shared" si="0"/>
        <v>-176.43</v>
      </c>
      <c r="M32" s="2"/>
      <c r="N32" s="22">
        <f t="shared" si="1"/>
        <v>0</v>
      </c>
      <c r="O32" s="11"/>
      <c r="P32" s="2">
        <f>-14278.54</f>
        <v>-14278.54</v>
      </c>
      <c r="Q32" s="2"/>
      <c r="R32" s="22"/>
      <c r="S32" s="2"/>
      <c r="T32" s="2"/>
      <c r="U32" s="2"/>
      <c r="V32" s="22"/>
      <c r="W32" s="2"/>
      <c r="X32" s="2">
        <f t="shared" si="2"/>
        <v>-14278.54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6" t="s">
        <v>8</v>
      </c>
      <c r="C34" s="10"/>
      <c r="D34" s="4">
        <f>SUM(OSRRefD16x_0)</f>
        <v>6147.00000000004</v>
      </c>
      <c r="E34" s="4"/>
      <c r="F34" s="12">
        <f t="shared" ref="F34:F49" si="7">IF(D$12=0,0,D34/D$12)</f>
        <v>0.95410901708301277</v>
      </c>
      <c r="G34" s="4"/>
      <c r="H34" s="4">
        <f>SUM(OSRRefH16x_0)</f>
        <v>9103</v>
      </c>
      <c r="I34" s="4"/>
      <c r="J34" s="12">
        <f t="shared" ref="J34:J49" si="8">IF(H$12=0,0,H34/H$12)</f>
        <v>0.72999198075380911</v>
      </c>
      <c r="K34" s="4"/>
      <c r="L34" s="4">
        <f t="shared" ref="L34:L49" si="9">+D34-H34</f>
        <v>-2955.99999999996</v>
      </c>
      <c r="M34" s="4"/>
      <c r="N34" s="12">
        <f t="shared" ref="N34:N49" si="10">IF(H34=0,0,L34/H34)</f>
        <v>-0.32472811161155224</v>
      </c>
      <c r="O34" s="10"/>
      <c r="P34" s="4">
        <f>SUM(OSRRefP16x_0)</f>
        <v>769077.99999999988</v>
      </c>
      <c r="Q34" s="4"/>
      <c r="R34" s="12">
        <f t="shared" ref="R34:R49" si="11">IF(P$12=0,0,P34/P$12)</f>
        <v>0.71072187750829807</v>
      </c>
      <c r="S34" s="4"/>
      <c r="T34" s="4">
        <f>SUM(OSRRefT16x_0)</f>
        <v>1289125</v>
      </c>
      <c r="U34" s="4"/>
      <c r="V34" s="12">
        <f t="shared" ref="V34:V49" si="12">IF(T$12=0,0,T34/T$12)</f>
        <v>0.72784590359602319</v>
      </c>
      <c r="W34" s="4"/>
      <c r="X34" s="4">
        <f t="shared" ref="X34:X49" si="13">+P34-T34</f>
        <v>-520047.00000000012</v>
      </c>
      <c r="Y34" s="4"/>
      <c r="Z34" s="12">
        <f t="shared" ref="Z34:Z49" si="14">IF(T34=0,0,X34/T34)</f>
        <v>-0.40341084068651228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7"/>
        <v>0</v>
      </c>
      <c r="G35" s="2"/>
      <c r="H35" s="2">
        <v>9103</v>
      </c>
      <c r="I35" s="2"/>
      <c r="J35" s="22">
        <f t="shared" si="8"/>
        <v>0.72999198075380911</v>
      </c>
      <c r="K35" s="2"/>
      <c r="L35" s="2">
        <f t="shared" si="9"/>
        <v>-9103</v>
      </c>
      <c r="M35" s="2"/>
      <c r="N35" s="22">
        <f t="shared" si="10"/>
        <v>-1</v>
      </c>
      <c r="O35" s="11"/>
      <c r="P35" s="2"/>
      <c r="Q35" s="2"/>
      <c r="R35" s="22">
        <f t="shared" si="11"/>
        <v>0</v>
      </c>
      <c r="S35" s="2"/>
      <c r="T35" s="2">
        <v>1289125</v>
      </c>
      <c r="U35" s="2"/>
      <c r="V35" s="22">
        <f t="shared" si="12"/>
        <v>0.72784590359602319</v>
      </c>
      <c r="W35" s="2"/>
      <c r="X35" s="2">
        <f t="shared" si="13"/>
        <v>-1289125</v>
      </c>
      <c r="Y35" s="2"/>
      <c r="Z35" s="22">
        <f t="shared" si="14"/>
        <v>-1</v>
      </c>
    </row>
    <row r="36" spans="1:26" s="24" customFormat="1" hidden="1" outlineLevel="1" x14ac:dyDescent="0.25">
      <c r="A36" s="51"/>
      <c r="B36" s="11" t="str">
        <f>CONCATENATE("          ", "5001", " - ", "PURCHASES @ COST-NEW TEXT")</f>
        <v xml:space="preserve">          5001 - PURCHASES @ COST-NEW TEXT</v>
      </c>
      <c r="C36" s="11"/>
      <c r="D36" s="2">
        <v>-108529.53</v>
      </c>
      <c r="E36" s="2"/>
      <c r="F36" s="22">
        <f t="shared" si="7"/>
        <v>-16.845453585941218</v>
      </c>
      <c r="G36" s="2"/>
      <c r="H36" s="2"/>
      <c r="I36" s="2"/>
      <c r="J36" s="22">
        <f t="shared" si="8"/>
        <v>0</v>
      </c>
      <c r="K36" s="2"/>
      <c r="L36" s="2">
        <f t="shared" si="9"/>
        <v>-108529.53</v>
      </c>
      <c r="M36" s="2"/>
      <c r="N36" s="22">
        <f t="shared" si="10"/>
        <v>0</v>
      </c>
      <c r="O36" s="11"/>
      <c r="P36" s="2">
        <v>1036215.4400000001</v>
      </c>
      <c r="Q36" s="2"/>
      <c r="R36" s="22">
        <f t="shared" si="11"/>
        <v>0.95758945519165461</v>
      </c>
      <c r="S36" s="2"/>
      <c r="T36" s="2"/>
      <c r="U36" s="2"/>
      <c r="V36" s="22">
        <f t="shared" si="12"/>
        <v>0</v>
      </c>
      <c r="W36" s="2"/>
      <c r="X36" s="2">
        <f t="shared" si="13"/>
        <v>1036215.4400000001</v>
      </c>
      <c r="Y36" s="2"/>
      <c r="Z36" s="22">
        <f t="shared" si="14"/>
        <v>0</v>
      </c>
    </row>
    <row r="37" spans="1:26" s="24" customFormat="1" hidden="1" outlineLevel="1" x14ac:dyDescent="0.25">
      <c r="A37" s="51"/>
      <c r="B37" s="11" t="str">
        <f>CONCATENATE("          ", "5002", " - ", "PURCHASES @ COST-USED TEXT")</f>
        <v xml:space="preserve">          5002 - PURCHASES @ COST-USED TEXT</v>
      </c>
      <c r="C37" s="11"/>
      <c r="D37" s="2">
        <v>-209276.59</v>
      </c>
      <c r="E37" s="2"/>
      <c r="F37" s="22">
        <f t="shared" si="7"/>
        <v>-32.482948036990948</v>
      </c>
      <c r="G37" s="2"/>
      <c r="H37" s="2"/>
      <c r="I37" s="2"/>
      <c r="J37" s="22">
        <f t="shared" si="8"/>
        <v>0</v>
      </c>
      <c r="K37" s="2"/>
      <c r="L37" s="2">
        <f t="shared" si="9"/>
        <v>-209276.59</v>
      </c>
      <c r="M37" s="2"/>
      <c r="N37" s="22">
        <f t="shared" si="10"/>
        <v>0</v>
      </c>
      <c r="O37" s="11"/>
      <c r="P37" s="2">
        <v>-45547.740000000005</v>
      </c>
      <c r="Q37" s="2"/>
      <c r="R37" s="22">
        <f t="shared" si="11"/>
        <v>-4.2091667280899754E-2</v>
      </c>
      <c r="S37" s="2"/>
      <c r="T37" s="2"/>
      <c r="U37" s="2"/>
      <c r="V37" s="22">
        <f t="shared" si="12"/>
        <v>0</v>
      </c>
      <c r="W37" s="2"/>
      <c r="X37" s="2">
        <f t="shared" si="13"/>
        <v>-45547.740000000005</v>
      </c>
      <c r="Y37" s="2"/>
      <c r="Z37" s="22">
        <f t="shared" si="14"/>
        <v>0</v>
      </c>
    </row>
    <row r="38" spans="1:26" s="24" customFormat="1" hidden="1" outlineLevel="1" x14ac:dyDescent="0.25">
      <c r="A38" s="51"/>
      <c r="B38" s="11" t="str">
        <f>CONCATENATE("          ", "5003", " - ", "PURCHASES @ COST-RENTAL TEXT")</f>
        <v xml:space="preserve">          5003 - PURCHASES @ COST-RENTAL TEXT</v>
      </c>
      <c r="C38" s="11"/>
      <c r="D38" s="2">
        <v>517.92999999999995</v>
      </c>
      <c r="E38" s="2"/>
      <c r="F38" s="22">
        <f t="shared" si="7"/>
        <v>8.0390708185749393E-2</v>
      </c>
      <c r="G38" s="2"/>
      <c r="H38" s="2"/>
      <c r="I38" s="2"/>
      <c r="J38" s="22">
        <f t="shared" si="8"/>
        <v>0</v>
      </c>
      <c r="K38" s="2"/>
      <c r="L38" s="2">
        <f t="shared" si="9"/>
        <v>517.92999999999995</v>
      </c>
      <c r="M38" s="2"/>
      <c r="N38" s="22">
        <f t="shared" si="10"/>
        <v>0</v>
      </c>
      <c r="O38" s="11"/>
      <c r="P38" s="2">
        <v>32.520000000000003</v>
      </c>
      <c r="Q38" s="2"/>
      <c r="R38" s="22">
        <f t="shared" si="11"/>
        <v>3.0052446509417588E-5</v>
      </c>
      <c r="S38" s="2"/>
      <c r="T38" s="2"/>
      <c r="U38" s="2"/>
      <c r="V38" s="22">
        <f t="shared" si="12"/>
        <v>0</v>
      </c>
      <c r="W38" s="2"/>
      <c r="X38" s="2">
        <f t="shared" si="13"/>
        <v>32.520000000000003</v>
      </c>
      <c r="Y38" s="2"/>
      <c r="Z38" s="22">
        <f t="shared" si="14"/>
        <v>0</v>
      </c>
    </row>
    <row r="39" spans="1:26" s="24" customFormat="1" hidden="1" outlineLevel="1" x14ac:dyDescent="0.25">
      <c r="A39" s="51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1418.58</v>
      </c>
      <c r="E39" s="2"/>
      <c r="F39" s="22">
        <f t="shared" si="7"/>
        <v>0.22018545135083964</v>
      </c>
      <c r="G39" s="2"/>
      <c r="H39" s="2"/>
      <c r="I39" s="2"/>
      <c r="J39" s="22">
        <f t="shared" si="8"/>
        <v>0</v>
      </c>
      <c r="K39" s="2"/>
      <c r="L39" s="2">
        <f t="shared" si="9"/>
        <v>1418.58</v>
      </c>
      <c r="M39" s="2"/>
      <c r="N39" s="22">
        <f t="shared" si="10"/>
        <v>0</v>
      </c>
      <c r="O39" s="11"/>
      <c r="P39" s="2">
        <v>196938.11000000002</v>
      </c>
      <c r="Q39" s="2"/>
      <c r="R39" s="22">
        <f t="shared" si="11"/>
        <v>0.18199483445389905</v>
      </c>
      <c r="S39" s="2"/>
      <c r="T39" s="2"/>
      <c r="U39" s="2"/>
      <c r="V39" s="22">
        <f t="shared" si="12"/>
        <v>0</v>
      </c>
      <c r="W39" s="2"/>
      <c r="X39" s="2">
        <f t="shared" si="13"/>
        <v>196938.11000000002</v>
      </c>
      <c r="Y39" s="2"/>
      <c r="Z39" s="22">
        <f t="shared" si="14"/>
        <v>0</v>
      </c>
    </row>
    <row r="40" spans="1:26" s="24" customFormat="1" hidden="1" outlineLevel="1" x14ac:dyDescent="0.25">
      <c r="A40" s="51"/>
      <c r="B40" s="11" t="str">
        <f>CONCATENATE("          ", "5011", " - ", "PURCHASES @ COST-NO VALUE TEXT")</f>
        <v xml:space="preserve">          5011 - PURCHASES @ COST-NO VALUE TEXT</v>
      </c>
      <c r="C40" s="11"/>
      <c r="D40" s="2"/>
      <c r="E40" s="2"/>
      <c r="F40" s="22">
        <f t="shared" si="7"/>
        <v>0</v>
      </c>
      <c r="G40" s="2"/>
      <c r="H40" s="2"/>
      <c r="I40" s="2"/>
      <c r="J40" s="22">
        <f t="shared" si="8"/>
        <v>0</v>
      </c>
      <c r="K40" s="2"/>
      <c r="L40" s="2">
        <f t="shared" si="9"/>
        <v>0</v>
      </c>
      <c r="M40" s="2"/>
      <c r="N40" s="22">
        <f t="shared" si="10"/>
        <v>0</v>
      </c>
      <c r="O40" s="11"/>
      <c r="P40" s="2">
        <v>67.17</v>
      </c>
      <c r="Q40" s="2"/>
      <c r="R40" s="22">
        <f t="shared" si="11"/>
        <v>6.2073272817883736E-5</v>
      </c>
      <c r="S40" s="2"/>
      <c r="T40" s="2"/>
      <c r="U40" s="2"/>
      <c r="V40" s="22">
        <f t="shared" si="12"/>
        <v>0</v>
      </c>
      <c r="W40" s="2"/>
      <c r="X40" s="2">
        <f t="shared" si="13"/>
        <v>67.17</v>
      </c>
      <c r="Y40" s="2"/>
      <c r="Z40" s="22">
        <f t="shared" si="14"/>
        <v>0</v>
      </c>
    </row>
    <row r="41" spans="1:26" s="24" customFormat="1" hidden="1" outlineLevel="1" x14ac:dyDescent="0.25">
      <c r="A41" s="51"/>
      <c r="B41" s="11" t="str">
        <f>CONCATENATE("          ", "5013", " - ", "PURCHASES @ COST-TRADE BOOKS")</f>
        <v xml:space="preserve">          5013 - PURCHASES @ COST-TRADE BOOKS</v>
      </c>
      <c r="C41" s="11"/>
      <c r="D41" s="2">
        <v>611.1</v>
      </c>
      <c r="E41" s="2"/>
      <c r="F41" s="22">
        <f t="shared" si="7"/>
        <v>9.4852126295660533E-2</v>
      </c>
      <c r="G41" s="2"/>
      <c r="H41" s="2"/>
      <c r="I41" s="2"/>
      <c r="J41" s="22">
        <f t="shared" si="8"/>
        <v>0</v>
      </c>
      <c r="K41" s="2"/>
      <c r="L41" s="2">
        <f t="shared" si="9"/>
        <v>611.1</v>
      </c>
      <c r="M41" s="2"/>
      <c r="N41" s="22">
        <f t="shared" si="10"/>
        <v>0</v>
      </c>
      <c r="O41" s="11"/>
      <c r="P41" s="2">
        <v>2094.7399999999998</v>
      </c>
      <c r="Q41" s="2"/>
      <c r="R41" s="22">
        <f t="shared" si="11"/>
        <v>1.9357952583375581E-3</v>
      </c>
      <c r="S41" s="2"/>
      <c r="T41" s="2"/>
      <c r="U41" s="2"/>
      <c r="V41" s="22">
        <f t="shared" si="12"/>
        <v>0</v>
      </c>
      <c r="W41" s="2"/>
      <c r="X41" s="2">
        <f t="shared" si="13"/>
        <v>2094.7399999999998</v>
      </c>
      <c r="Y41" s="2"/>
      <c r="Z41" s="22">
        <f t="shared" si="14"/>
        <v>0</v>
      </c>
    </row>
    <row r="42" spans="1:26" s="24" customFormat="1" hidden="1" outlineLevel="1" x14ac:dyDescent="0.25">
      <c r="A42" s="51"/>
      <c r="B42" s="11" t="str">
        <f>CONCATENATE("          ", "5014", " - ", "PURCHASES @ COST-REMAINDERS")</f>
        <v xml:space="preserve">          5014 - PURCHASES @ COST-REMAINDERS</v>
      </c>
      <c r="C42" s="11"/>
      <c r="D42" s="2"/>
      <c r="E42" s="2"/>
      <c r="F42" s="22">
        <f t="shared" si="7"/>
        <v>0</v>
      </c>
      <c r="G42" s="2"/>
      <c r="H42" s="2"/>
      <c r="I42" s="2"/>
      <c r="J42" s="22">
        <f t="shared" si="8"/>
        <v>0</v>
      </c>
      <c r="K42" s="2"/>
      <c r="L42" s="2">
        <f t="shared" si="9"/>
        <v>0</v>
      </c>
      <c r="M42" s="2"/>
      <c r="N42" s="22">
        <f t="shared" si="10"/>
        <v>0</v>
      </c>
      <c r="O42" s="11"/>
      <c r="P42" s="2">
        <v>90.41</v>
      </c>
      <c r="Q42" s="2"/>
      <c r="R42" s="22">
        <f t="shared" si="11"/>
        <v>8.3549867432854979E-5</v>
      </c>
      <c r="S42" s="2"/>
      <c r="T42" s="2"/>
      <c r="U42" s="2"/>
      <c r="V42" s="22">
        <f t="shared" si="12"/>
        <v>0</v>
      </c>
      <c r="W42" s="2"/>
      <c r="X42" s="2">
        <f t="shared" si="13"/>
        <v>90.41</v>
      </c>
      <c r="Y42" s="2"/>
      <c r="Z42" s="22">
        <f t="shared" si="14"/>
        <v>0</v>
      </c>
    </row>
    <row r="43" spans="1:26" s="24" customFormat="1" hidden="1" outlineLevel="1" x14ac:dyDescent="0.25">
      <c r="A43" s="51"/>
      <c r="B43" s="11" t="str">
        <f>CONCATENATE("          ", "5018", " - ", "PURCHASES @ COST-STUDY GUIDES")</f>
        <v xml:space="preserve">          5018 - PURCHASES @ COST-STUDY GUIDES</v>
      </c>
      <c r="C43" s="11"/>
      <c r="D43" s="2">
        <v>106.34</v>
      </c>
      <c r="E43" s="2"/>
      <c r="F43" s="22">
        <f t="shared" si="7"/>
        <v>1.6505604827819573E-2</v>
      </c>
      <c r="G43" s="2"/>
      <c r="H43" s="2"/>
      <c r="I43" s="2"/>
      <c r="J43" s="22">
        <f t="shared" si="8"/>
        <v>0</v>
      </c>
      <c r="K43" s="2"/>
      <c r="L43" s="2">
        <f t="shared" si="9"/>
        <v>106.34</v>
      </c>
      <c r="M43" s="2"/>
      <c r="N43" s="22">
        <f t="shared" si="10"/>
        <v>0</v>
      </c>
      <c r="O43" s="11"/>
      <c r="P43" s="2">
        <v>106.34</v>
      </c>
      <c r="Q43" s="2"/>
      <c r="R43" s="22">
        <f t="shared" si="11"/>
        <v>9.8271130437006961E-5</v>
      </c>
      <c r="S43" s="2"/>
      <c r="T43" s="2"/>
      <c r="U43" s="2"/>
      <c r="V43" s="22">
        <f t="shared" si="12"/>
        <v>0</v>
      </c>
      <c r="W43" s="2"/>
      <c r="X43" s="2">
        <f t="shared" si="13"/>
        <v>106.34</v>
      </c>
      <c r="Y43" s="2"/>
      <c r="Z43" s="22">
        <f t="shared" si="14"/>
        <v>0</v>
      </c>
    </row>
    <row r="44" spans="1:26" s="24" customFormat="1" hidden="1" outlineLevel="1" x14ac:dyDescent="0.25">
      <c r="A44" s="51"/>
      <c r="B44" s="11" t="str">
        <f>CONCATENATE("          ", "5200", " - ", "PURCHASES OFFSET")</f>
        <v xml:space="preserve">          5200 - PURCHASES OFFSET</v>
      </c>
      <c r="C44" s="11"/>
      <c r="D44" s="2">
        <v>313747.15000000002</v>
      </c>
      <c r="E44" s="2"/>
      <c r="F44" s="22">
        <f t="shared" si="7"/>
        <v>48.698387001642203</v>
      </c>
      <c r="G44" s="2"/>
      <c r="H44" s="2"/>
      <c r="I44" s="2"/>
      <c r="J44" s="22">
        <f t="shared" si="8"/>
        <v>0</v>
      </c>
      <c r="K44" s="2"/>
      <c r="L44" s="2">
        <f t="shared" si="9"/>
        <v>313747.15000000002</v>
      </c>
      <c r="M44" s="2"/>
      <c r="N44" s="22">
        <f t="shared" si="10"/>
        <v>0</v>
      </c>
      <c r="O44" s="11"/>
      <c r="P44" s="2">
        <v>-1236227.33</v>
      </c>
      <c r="Q44" s="2"/>
      <c r="R44" s="22">
        <f t="shared" si="11"/>
        <v>-1.1424248372787553</v>
      </c>
      <c r="S44" s="2"/>
      <c r="T44" s="2"/>
      <c r="U44" s="2"/>
      <c r="V44" s="22">
        <f t="shared" si="12"/>
        <v>0</v>
      </c>
      <c r="W44" s="2"/>
      <c r="X44" s="2">
        <f t="shared" si="13"/>
        <v>-1236227.33</v>
      </c>
      <c r="Y44" s="2"/>
      <c r="Z44" s="22">
        <f t="shared" si="14"/>
        <v>0</v>
      </c>
    </row>
    <row r="45" spans="1:26" s="24" customFormat="1" hidden="1" outlineLevel="1" x14ac:dyDescent="0.25">
      <c r="A45" s="51"/>
      <c r="B45" s="11" t="str">
        <f>CONCATENATE("          ", "5300", " - ", "COG$ OFFSET")</f>
        <v xml:space="preserve">          5300 - COG$ OFFSET</v>
      </c>
      <c r="C45" s="11"/>
      <c r="D45" s="2">
        <v>6147</v>
      </c>
      <c r="E45" s="2"/>
      <c r="F45" s="22">
        <f t="shared" si="7"/>
        <v>0.95410901708300655</v>
      </c>
      <c r="G45" s="2"/>
      <c r="H45" s="2"/>
      <c r="I45" s="2"/>
      <c r="J45" s="22">
        <f t="shared" si="8"/>
        <v>0</v>
      </c>
      <c r="K45" s="2"/>
      <c r="L45" s="2">
        <f t="shared" si="9"/>
        <v>6147</v>
      </c>
      <c r="M45" s="2"/>
      <c r="N45" s="22">
        <f t="shared" si="10"/>
        <v>0</v>
      </c>
      <c r="O45" s="11"/>
      <c r="P45" s="2">
        <v>769078</v>
      </c>
      <c r="Q45" s="2"/>
      <c r="R45" s="22">
        <f t="shared" si="11"/>
        <v>0.71072187750829818</v>
      </c>
      <c r="S45" s="2"/>
      <c r="T45" s="2"/>
      <c r="U45" s="2"/>
      <c r="V45" s="22">
        <f t="shared" si="12"/>
        <v>0</v>
      </c>
      <c r="W45" s="2"/>
      <c r="X45" s="2">
        <f t="shared" si="13"/>
        <v>769078</v>
      </c>
      <c r="Y45" s="2"/>
      <c r="Z45" s="22">
        <f t="shared" si="14"/>
        <v>0</v>
      </c>
    </row>
    <row r="46" spans="1:26" s="24" customFormat="1" hidden="1" outlineLevel="1" x14ac:dyDescent="0.25">
      <c r="A46" s="51"/>
      <c r="B46" s="11" t="str">
        <f>CONCATENATE("          ", "5501", " - ", "FREIGHT-IN-NEW TEXT")</f>
        <v xml:space="preserve">          5501 - FREIGHT-IN-NEW TEXT</v>
      </c>
      <c r="C46" s="11"/>
      <c r="D46" s="2">
        <v>990.19</v>
      </c>
      <c r="E46" s="2"/>
      <c r="F46" s="22">
        <f t="shared" si="7"/>
        <v>0.15369272940058928</v>
      </c>
      <c r="G46" s="2"/>
      <c r="H46" s="2"/>
      <c r="I46" s="2"/>
      <c r="J46" s="22">
        <f t="shared" si="8"/>
        <v>0</v>
      </c>
      <c r="K46" s="2"/>
      <c r="L46" s="2">
        <f t="shared" si="9"/>
        <v>990.19</v>
      </c>
      <c r="M46" s="2"/>
      <c r="N46" s="22">
        <f t="shared" si="10"/>
        <v>0</v>
      </c>
      <c r="O46" s="11"/>
      <c r="P46" s="2">
        <v>35048.81</v>
      </c>
      <c r="Q46" s="2"/>
      <c r="R46" s="22">
        <f t="shared" si="11"/>
        <v>3.2389375391873927E-2</v>
      </c>
      <c r="S46" s="2"/>
      <c r="T46" s="2"/>
      <c r="U46" s="2"/>
      <c r="V46" s="22">
        <f t="shared" si="12"/>
        <v>0</v>
      </c>
      <c r="W46" s="2"/>
      <c r="X46" s="2">
        <f t="shared" si="13"/>
        <v>35048.81</v>
      </c>
      <c r="Y46" s="2"/>
      <c r="Z46" s="22">
        <f t="shared" si="14"/>
        <v>0</v>
      </c>
    </row>
    <row r="47" spans="1:26" s="24" customFormat="1" hidden="1" outlineLevel="1" x14ac:dyDescent="0.25">
      <c r="A47" s="51"/>
      <c r="B47" s="11" t="str">
        <f>CONCATENATE("          ", "5502", " - ", "FREIGHT-IN-USED TEXT")</f>
        <v xml:space="preserve">          5502 - FREIGHT-IN-USED TEXT</v>
      </c>
      <c r="C47" s="11"/>
      <c r="D47" s="2">
        <v>388.37</v>
      </c>
      <c r="E47" s="2"/>
      <c r="F47" s="22">
        <f t="shared" si="7"/>
        <v>6.0281001946401049E-2</v>
      </c>
      <c r="G47" s="2"/>
      <c r="H47" s="2"/>
      <c r="I47" s="2"/>
      <c r="J47" s="22">
        <f t="shared" si="8"/>
        <v>0</v>
      </c>
      <c r="K47" s="2"/>
      <c r="L47" s="2">
        <f t="shared" si="9"/>
        <v>388.37</v>
      </c>
      <c r="M47" s="2"/>
      <c r="N47" s="22">
        <f t="shared" si="10"/>
        <v>0</v>
      </c>
      <c r="O47" s="11"/>
      <c r="P47" s="2">
        <v>11133.09</v>
      </c>
      <c r="Q47" s="2"/>
      <c r="R47" s="22">
        <f t="shared" si="11"/>
        <v>1.0288333078398888E-2</v>
      </c>
      <c r="S47" s="2"/>
      <c r="T47" s="2"/>
      <c r="U47" s="2"/>
      <c r="V47" s="22">
        <f t="shared" si="12"/>
        <v>0</v>
      </c>
      <c r="W47" s="2"/>
      <c r="X47" s="2">
        <f t="shared" si="13"/>
        <v>11133.09</v>
      </c>
      <c r="Y47" s="2"/>
      <c r="Z47" s="22">
        <f t="shared" si="14"/>
        <v>0</v>
      </c>
    </row>
    <row r="48" spans="1:26" s="24" customFormat="1" hidden="1" outlineLevel="1" x14ac:dyDescent="0.25">
      <c r="A48" s="51"/>
      <c r="B48" s="11" t="str">
        <f>CONCATENATE("          ", "5504", " - ", "FREIGHT-IN-DIGITAL TEXT")</f>
        <v xml:space="preserve">          5504 - FREIGHT-IN-DIGITAL TEXT</v>
      </c>
      <c r="C48" s="11"/>
      <c r="D48" s="2"/>
      <c r="E48" s="2"/>
      <c r="F48" s="22">
        <f t="shared" si="7"/>
        <v>0</v>
      </c>
      <c r="G48" s="2"/>
      <c r="H48" s="2"/>
      <c r="I48" s="2"/>
      <c r="J48" s="22">
        <f t="shared" si="8"/>
        <v>0</v>
      </c>
      <c r="K48" s="2"/>
      <c r="L48" s="2">
        <f t="shared" si="9"/>
        <v>0</v>
      </c>
      <c r="M48" s="2"/>
      <c r="N48" s="22">
        <f t="shared" si="10"/>
        <v>0</v>
      </c>
      <c r="O48" s="11"/>
      <c r="P48" s="2">
        <v>21.98</v>
      </c>
      <c r="Q48" s="2"/>
      <c r="R48" s="22">
        <f t="shared" si="11"/>
        <v>2.0312200931027016E-5</v>
      </c>
      <c r="S48" s="2"/>
      <c r="T48" s="2"/>
      <c r="U48" s="2"/>
      <c r="V48" s="22">
        <f t="shared" si="12"/>
        <v>0</v>
      </c>
      <c r="W48" s="2"/>
      <c r="X48" s="2">
        <f t="shared" si="13"/>
        <v>21.98</v>
      </c>
      <c r="Y48" s="2"/>
      <c r="Z48" s="22">
        <f t="shared" si="14"/>
        <v>0</v>
      </c>
    </row>
    <row r="49" spans="1:26" s="24" customFormat="1" hidden="1" outlineLevel="1" x14ac:dyDescent="0.25">
      <c r="A49" s="51"/>
      <c r="B49" s="11" t="str">
        <f>CONCATENATE("          ", "5513", " - ", "FREIGHT-IN-TRADE BOOKS")</f>
        <v xml:space="preserve">          5513 - FREIGHT-IN-TRADE BOOKS</v>
      </c>
      <c r="C49" s="11"/>
      <c r="D49" s="2">
        <v>26.46</v>
      </c>
      <c r="E49" s="2"/>
      <c r="F49" s="22">
        <f t="shared" si="7"/>
        <v>4.1069992829048888E-3</v>
      </c>
      <c r="G49" s="2"/>
      <c r="H49" s="2"/>
      <c r="I49" s="2"/>
      <c r="J49" s="22">
        <f t="shared" si="8"/>
        <v>0</v>
      </c>
      <c r="K49" s="2"/>
      <c r="L49" s="2">
        <f t="shared" si="9"/>
        <v>26.46</v>
      </c>
      <c r="M49" s="2"/>
      <c r="N49" s="22">
        <f t="shared" si="10"/>
        <v>0</v>
      </c>
      <c r="O49" s="11"/>
      <c r="P49" s="2">
        <v>26.46</v>
      </c>
      <c r="Q49" s="2"/>
      <c r="R49" s="22">
        <f t="shared" si="11"/>
        <v>2.44522673628287E-5</v>
      </c>
      <c r="S49" s="2"/>
      <c r="T49" s="2"/>
      <c r="U49" s="2"/>
      <c r="V49" s="22">
        <f t="shared" si="12"/>
        <v>0</v>
      </c>
      <c r="W49" s="2"/>
      <c r="X49" s="2">
        <f t="shared" si="13"/>
        <v>26.46</v>
      </c>
      <c r="Y49" s="2"/>
      <c r="Z49" s="22">
        <f t="shared" si="14"/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6</v>
      </c>
      <c r="C51" s="25"/>
      <c r="D51" s="21">
        <f>D12-D34</f>
        <v>295.65999999995711</v>
      </c>
      <c r="E51" s="13"/>
      <c r="F51" s="20">
        <f>IF(D$12=0,0,D51/D$12)</f>
        <v>4.5890982916987275E-2</v>
      </c>
      <c r="G51" s="13"/>
      <c r="H51" s="21">
        <f>H12-H34</f>
        <v>3367</v>
      </c>
      <c r="I51" s="13"/>
      <c r="J51" s="20">
        <f>IF(H$12=0,0,H51/H$12)</f>
        <v>0.27000801924619083</v>
      </c>
      <c r="K51" s="16"/>
      <c r="L51" s="21">
        <f>+D51-H51</f>
        <v>-3071.3400000000429</v>
      </c>
      <c r="M51" s="16"/>
      <c r="N51" s="20">
        <f>IF(H51=0,0,L51/H51)</f>
        <v>-0.91218889218890498</v>
      </c>
      <c r="O51" s="26"/>
      <c r="P51" s="21">
        <f>P12-P34</f>
        <v>313030.23999999987</v>
      </c>
      <c r="Q51" s="13"/>
      <c r="R51" s="20">
        <f>IF(P$12=0,0,P51/P$12)</f>
        <v>0.28927812249170187</v>
      </c>
      <c r="S51" s="13"/>
      <c r="T51" s="21">
        <f>T12-T34</f>
        <v>482026</v>
      </c>
      <c r="U51" s="13"/>
      <c r="V51" s="20">
        <f>IF(T$12=0,0,T51/T$12)</f>
        <v>0.27215409640397686</v>
      </c>
      <c r="W51" s="16"/>
      <c r="X51" s="21">
        <f>+P51-T51</f>
        <v>-168995.76000000013</v>
      </c>
      <c r="Y51" s="16"/>
      <c r="Z51" s="20">
        <f>IF(T51=0,0,X51/T51)</f>
        <v>-0.35059469821130007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6" t="s">
        <v>9</v>
      </c>
      <c r="C53" s="10"/>
      <c r="D53" s="19">
        <f>SUM(OSRRefD22x_0)</f>
        <v>43215.05000000001</v>
      </c>
      <c r="E53" s="19"/>
      <c r="F53" s="35">
        <f t="shared" ref="F53:F64" si="15">IF(D$12=0,0,D53/D$12)</f>
        <v>6.7076409433370738</v>
      </c>
      <c r="G53" s="19"/>
      <c r="H53" s="19">
        <f>SUM(OSRRefH22x_0)</f>
        <v>43080.671973861528</v>
      </c>
      <c r="I53" s="19"/>
      <c r="J53" s="35">
        <f t="shared" ref="J53:J64" si="16">IF(H$12=0,0,H53/H$12)</f>
        <v>3.4547451462599463</v>
      </c>
      <c r="K53" s="4"/>
      <c r="L53" s="19">
        <f t="shared" ref="L53:L64" si="17">+D53-H53</f>
        <v>134.3780261384818</v>
      </c>
      <c r="M53" s="4"/>
      <c r="N53" s="35">
        <f t="shared" ref="N53:N64" si="18">IF(H53=0,0,L53/H53)</f>
        <v>3.1192184332689472E-3</v>
      </c>
      <c r="O53" s="10"/>
      <c r="P53" s="19">
        <f>SUM(OSRRefP22x_0)</f>
        <v>212932.37000000002</v>
      </c>
      <c r="Q53" s="19"/>
      <c r="R53" s="35">
        <f t="shared" ref="R53:R64" si="19">IF(P$12=0,0,P53/P$12)</f>
        <v>0.19677548153593219</v>
      </c>
      <c r="S53" s="19"/>
      <c r="T53" s="19">
        <f>SUM(OSRRefT22x_0)</f>
        <v>263041.72410623846</v>
      </c>
      <c r="U53" s="19"/>
      <c r="V53" s="35">
        <f t="shared" ref="V53:V64" si="20">IF(T$12=0,0,T53/T$12)</f>
        <v>0.14851456714093741</v>
      </c>
      <c r="W53" s="4"/>
      <c r="X53" s="19">
        <f t="shared" ref="X53:X64" si="21">+P53-T53</f>
        <v>-50109.354106238432</v>
      </c>
      <c r="Y53" s="4"/>
      <c r="Z53" s="35">
        <f t="shared" ref="Z53:Z64" si="22">IF(T53=0,0,X53/T53)</f>
        <v>-0.19049964136488112</v>
      </c>
    </row>
    <row r="54" spans="1:26" s="29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11425.13</v>
      </c>
      <c r="E54" s="1"/>
      <c r="F54" s="5">
        <f t="shared" si="15"/>
        <v>1.7733560361713958</v>
      </c>
      <c r="G54" s="1"/>
      <c r="H54" s="1">
        <f>SUM(OSRRefH22_0x_0)</f>
        <v>11172.669830169227</v>
      </c>
      <c r="I54" s="1"/>
      <c r="J54" s="5">
        <f t="shared" si="16"/>
        <v>0.89596389977299329</v>
      </c>
      <c r="K54" s="1"/>
      <c r="L54" s="1">
        <f t="shared" si="17"/>
        <v>252.46016983077243</v>
      </c>
      <c r="M54" s="1"/>
      <c r="N54" s="5">
        <f t="shared" si="18"/>
        <v>2.2596225760566357E-2</v>
      </c>
      <c r="O54" s="14"/>
      <c r="P54" s="1">
        <f>SUM(OSRRefP22_0x_0)</f>
        <v>57037.840000000004</v>
      </c>
      <c r="Q54" s="1"/>
      <c r="R54" s="5">
        <f t="shared" si="19"/>
        <v>5.2709921144302549E-2</v>
      </c>
      <c r="S54" s="1"/>
      <c r="T54" s="1">
        <f>SUM(OSRRefT22_0x_0)</f>
        <v>62363.962315930774</v>
      </c>
      <c r="U54" s="1"/>
      <c r="V54" s="5">
        <f t="shared" si="20"/>
        <v>3.5210979931090444E-2</v>
      </c>
      <c r="W54" s="1"/>
      <c r="X54" s="1">
        <f t="shared" si="21"/>
        <v>-5326.1223159307701</v>
      </c>
      <c r="Y54" s="1"/>
      <c r="Z54" s="5">
        <f t="shared" si="22"/>
        <v>-8.5403847320493637E-2</v>
      </c>
    </row>
    <row r="55" spans="1:26" s="24" customFormat="1" hidden="1" outlineLevel="2" x14ac:dyDescent="0.25">
      <c r="A55" s="28"/>
      <c r="B55" s="11" t="str">
        <f>CONCATENATE("          ", "6111", " - ", "F.I.C.A.")</f>
        <v xml:space="preserve">          6111 - F.I.C.A.</v>
      </c>
      <c r="C55" s="11"/>
      <c r="D55" s="6">
        <v>1724.83</v>
      </c>
      <c r="E55" s="2"/>
      <c r="F55" s="7">
        <f t="shared" si="15"/>
        <v>0.26772016527334991</v>
      </c>
      <c r="G55" s="2"/>
      <c r="H55" s="6">
        <v>1568.3171629384599</v>
      </c>
      <c r="I55" s="2"/>
      <c r="J55" s="7">
        <f t="shared" si="16"/>
        <v>0.12576721434951563</v>
      </c>
      <c r="K55" s="2"/>
      <c r="L55" s="6">
        <f t="shared" si="17"/>
        <v>156.51283706154004</v>
      </c>
      <c r="M55" s="2"/>
      <c r="N55" s="7">
        <f t="shared" si="18"/>
        <v>9.9796674269821486E-2</v>
      </c>
      <c r="O55" s="11"/>
      <c r="P55" s="6">
        <v>10947.47</v>
      </c>
      <c r="Q55" s="2"/>
      <c r="R55" s="7">
        <f t="shared" si="19"/>
        <v>1.0116797558070533E-2</v>
      </c>
      <c r="S55" s="2"/>
      <c r="T55" s="6">
        <v>9650.2897711615387</v>
      </c>
      <c r="U55" s="2"/>
      <c r="V55" s="7">
        <f t="shared" si="20"/>
        <v>5.4485979858078385E-3</v>
      </c>
      <c r="W55" s="2"/>
      <c r="X55" s="6">
        <f t="shared" si="21"/>
        <v>1297.1802288384606</v>
      </c>
      <c r="Y55" s="2"/>
      <c r="Z55" s="7">
        <f t="shared" si="22"/>
        <v>0.13441878530061258</v>
      </c>
    </row>
    <row r="56" spans="1:26" s="24" customFormat="1" hidden="1" outlineLevel="2" x14ac:dyDescent="0.25">
      <c r="A56" s="28"/>
      <c r="B56" s="11" t="str">
        <f>CONCATENATE("          ", "6112", " - ", "COMPENSATION INSURANCE")</f>
        <v xml:space="preserve">          6112 - COMPENSATION INSURANCE</v>
      </c>
      <c r="C56" s="11"/>
      <c r="D56" s="6">
        <v>144.18</v>
      </c>
      <c r="E56" s="2"/>
      <c r="F56" s="7">
        <f t="shared" si="15"/>
        <v>2.2378955276236845E-2</v>
      </c>
      <c r="G56" s="2"/>
      <c r="H56" s="6">
        <v>452.192568461539</v>
      </c>
      <c r="I56" s="2"/>
      <c r="J56" s="7">
        <f t="shared" si="16"/>
        <v>3.6262435321695187E-2</v>
      </c>
      <c r="K56" s="2"/>
      <c r="L56" s="6">
        <f t="shared" si="17"/>
        <v>-308.01256846153899</v>
      </c>
      <c r="M56" s="2"/>
      <c r="N56" s="7">
        <f t="shared" si="18"/>
        <v>-0.68115353931946987</v>
      </c>
      <c r="O56" s="11"/>
      <c r="P56" s="6">
        <v>667.35</v>
      </c>
      <c r="Q56" s="2"/>
      <c r="R56" s="7">
        <f t="shared" si="19"/>
        <v>6.167127976033157E-4</v>
      </c>
      <c r="S56" s="2"/>
      <c r="T56" s="6">
        <v>3204.6972515384618</v>
      </c>
      <c r="U56" s="2"/>
      <c r="V56" s="7">
        <f t="shared" si="20"/>
        <v>1.8093868063979084E-3</v>
      </c>
      <c r="W56" s="2"/>
      <c r="X56" s="6">
        <f t="shared" si="21"/>
        <v>-2537.3472515384619</v>
      </c>
      <c r="Y56" s="2"/>
      <c r="Z56" s="7">
        <f t="shared" si="22"/>
        <v>-0.79175880040474067</v>
      </c>
    </row>
    <row r="57" spans="1:26" s="24" customFormat="1" hidden="1" outlineLevel="2" x14ac:dyDescent="0.25">
      <c r="A57" s="28"/>
      <c r="B57" s="11" t="str">
        <f>CONCATENATE("          ", "6113", " - ", "GROUP INSURANCE")</f>
        <v xml:space="preserve">          6113 - GROUP INSURANCE</v>
      </c>
      <c r="C57" s="11"/>
      <c r="D57" s="6">
        <v>4248.21</v>
      </c>
      <c r="E57" s="2"/>
      <c r="F57" s="7">
        <f t="shared" si="15"/>
        <v>0.65938758214774673</v>
      </c>
      <c r="G57" s="2"/>
      <c r="H57" s="6">
        <v>4662.6923076923094</v>
      </c>
      <c r="I57" s="2"/>
      <c r="J57" s="7">
        <f t="shared" si="16"/>
        <v>0.37391277527604727</v>
      </c>
      <c r="K57" s="2"/>
      <c r="L57" s="6">
        <f t="shared" si="17"/>
        <v>-414.4823076923094</v>
      </c>
      <c r="M57" s="2"/>
      <c r="N57" s="7">
        <f t="shared" si="18"/>
        <v>-8.8893343231873631E-2</v>
      </c>
      <c r="O57" s="11"/>
      <c r="P57" s="6">
        <v>21106.84</v>
      </c>
      <c r="Q57" s="2"/>
      <c r="R57" s="7">
        <f t="shared" si="19"/>
        <v>1.9505294590493095E-2</v>
      </c>
      <c r="S57" s="2"/>
      <c r="T57" s="6">
        <v>23927.307692307691</v>
      </c>
      <c r="U57" s="2"/>
      <c r="V57" s="7">
        <f t="shared" si="20"/>
        <v>1.3509467963097269E-2</v>
      </c>
      <c r="W57" s="2"/>
      <c r="X57" s="6">
        <f t="shared" si="21"/>
        <v>-2820.4676923076913</v>
      </c>
      <c r="Y57" s="2"/>
      <c r="Z57" s="7">
        <f t="shared" si="22"/>
        <v>-0.11787651701467583</v>
      </c>
    </row>
    <row r="58" spans="1:26" s="24" customFormat="1" hidden="1" outlineLevel="2" x14ac:dyDescent="0.25">
      <c r="A58" s="28"/>
      <c r="B58" s="11" t="str">
        <f>CONCATENATE("          ", "6114", " - ", "STATE UNEMPLOYMENT INSURANCE")</f>
        <v xml:space="preserve">          6114 - STATE UNEMPLOYMENT INSURANCE</v>
      </c>
      <c r="C58" s="11"/>
      <c r="D58" s="6">
        <v>113.59</v>
      </c>
      <c r="E58" s="2"/>
      <c r="F58" s="7">
        <f t="shared" si="15"/>
        <v>1.7630916422719817E-2</v>
      </c>
      <c r="G58" s="2"/>
      <c r="H58" s="6">
        <v>63.551388000000003</v>
      </c>
      <c r="I58" s="2"/>
      <c r="J58" s="7">
        <f t="shared" si="16"/>
        <v>5.0963422614274259E-3</v>
      </c>
      <c r="K58" s="2"/>
      <c r="L58" s="6">
        <f t="shared" si="17"/>
        <v>50.038612000000001</v>
      </c>
      <c r="M58" s="2"/>
      <c r="N58" s="7">
        <f t="shared" si="18"/>
        <v>0.78737244889128144</v>
      </c>
      <c r="O58" s="11"/>
      <c r="P58" s="6">
        <v>382.75</v>
      </c>
      <c r="Q58" s="2"/>
      <c r="R58" s="7">
        <f t="shared" si="19"/>
        <v>3.5370768454734256E-4</v>
      </c>
      <c r="S58" s="2"/>
      <c r="T58" s="6">
        <v>450.389884</v>
      </c>
      <c r="U58" s="2"/>
      <c r="V58" s="7">
        <f t="shared" si="20"/>
        <v>2.5429219981808437E-4</v>
      </c>
      <c r="W58" s="2"/>
      <c r="X58" s="6">
        <f t="shared" si="21"/>
        <v>-67.639883999999995</v>
      </c>
      <c r="Y58" s="2"/>
      <c r="Z58" s="7">
        <f t="shared" si="22"/>
        <v>-0.15018073540923491</v>
      </c>
    </row>
    <row r="59" spans="1:26" s="24" customFormat="1" hidden="1" outlineLevel="2" x14ac:dyDescent="0.25">
      <c r="A59" s="28"/>
      <c r="B59" s="11" t="str">
        <f>CONCATENATE("          ", "6115", " - ", "P.E.R.S.")</f>
        <v xml:space="preserve">          6115 - P.E.R.S.</v>
      </c>
      <c r="C59" s="11"/>
      <c r="D59" s="6">
        <v>2042.1</v>
      </c>
      <c r="E59" s="2"/>
      <c r="F59" s="7">
        <f t="shared" si="15"/>
        <v>0.31696535282010857</v>
      </c>
      <c r="G59" s="2"/>
      <c r="H59" s="6">
        <v>1268.5379723076899</v>
      </c>
      <c r="I59" s="2"/>
      <c r="J59" s="7">
        <f t="shared" si="16"/>
        <v>0.10172718302387249</v>
      </c>
      <c r="K59" s="2"/>
      <c r="L59" s="6">
        <f t="shared" si="17"/>
        <v>773.56202769231004</v>
      </c>
      <c r="M59" s="2"/>
      <c r="N59" s="7">
        <f t="shared" si="18"/>
        <v>0.6098059692175134</v>
      </c>
      <c r="O59" s="11"/>
      <c r="P59" s="6">
        <v>8703.02</v>
      </c>
      <c r="Q59" s="2"/>
      <c r="R59" s="7">
        <f t="shared" si="19"/>
        <v>8.0426519993970318E-3</v>
      </c>
      <c r="S59" s="2"/>
      <c r="T59" s="6">
        <v>6976.95884769231</v>
      </c>
      <c r="U59" s="2"/>
      <c r="V59" s="7">
        <f t="shared" si="20"/>
        <v>3.9392230519545253E-3</v>
      </c>
      <c r="W59" s="2"/>
      <c r="X59" s="6">
        <f t="shared" si="21"/>
        <v>1726.0611523076905</v>
      </c>
      <c r="Y59" s="2"/>
      <c r="Z59" s="7">
        <f t="shared" si="22"/>
        <v>0.24739448662200442</v>
      </c>
    </row>
    <row r="60" spans="1:26" s="24" customFormat="1" hidden="1" outlineLevel="2" x14ac:dyDescent="0.25">
      <c r="A60" s="28"/>
      <c r="B60" s="11" t="str">
        <f>CONCATENATE("          ", "6116", " - ", "EDUCATIONAL BENEFITS")</f>
        <v xml:space="preserve">          6116 - EDUCATIONAL BENEFITS</v>
      </c>
      <c r="C60" s="11"/>
      <c r="D60" s="6"/>
      <c r="E60" s="2"/>
      <c r="F60" s="7">
        <f t="shared" si="15"/>
        <v>0</v>
      </c>
      <c r="G60" s="2"/>
      <c r="H60" s="6">
        <v>0</v>
      </c>
      <c r="I60" s="2"/>
      <c r="J60" s="7">
        <f t="shared" si="16"/>
        <v>0</v>
      </c>
      <c r="K60" s="2"/>
      <c r="L60" s="6">
        <f t="shared" si="17"/>
        <v>0</v>
      </c>
      <c r="M60" s="2"/>
      <c r="N60" s="7">
        <f t="shared" si="18"/>
        <v>0</v>
      </c>
      <c r="O60" s="11"/>
      <c r="P60" s="6"/>
      <c r="Q60" s="2"/>
      <c r="R60" s="7">
        <f t="shared" si="19"/>
        <v>0</v>
      </c>
      <c r="S60" s="2"/>
      <c r="T60" s="6">
        <v>0</v>
      </c>
      <c r="U60" s="2"/>
      <c r="V60" s="7">
        <f t="shared" si="20"/>
        <v>0</v>
      </c>
      <c r="W60" s="2"/>
      <c r="X60" s="6">
        <f t="shared" si="21"/>
        <v>0</v>
      </c>
      <c r="Y60" s="2"/>
      <c r="Z60" s="7">
        <f t="shared" si="22"/>
        <v>0</v>
      </c>
    </row>
    <row r="61" spans="1:26" s="24" customFormat="1" hidden="1" outlineLevel="2" x14ac:dyDescent="0.25">
      <c r="A61" s="28"/>
      <c r="B61" s="11" t="str">
        <f>CONCATENATE("          ", "6117", " - ", "RETIREMENT STAFF HOURLY")</f>
        <v xml:space="preserve">          6117 - RETIREMENT STAFF HOURLY</v>
      </c>
      <c r="C61" s="11"/>
      <c r="D61" s="6">
        <v>232.91</v>
      </c>
      <c r="E61" s="2"/>
      <c r="F61" s="7">
        <f t="shared" si="15"/>
        <v>3.6151217043891827E-2</v>
      </c>
      <c r="G61" s="2"/>
      <c r="H61" s="6"/>
      <c r="I61" s="2"/>
      <c r="J61" s="7">
        <f t="shared" si="16"/>
        <v>0</v>
      </c>
      <c r="K61" s="2"/>
      <c r="L61" s="6">
        <f t="shared" si="17"/>
        <v>232.91</v>
      </c>
      <c r="M61" s="2"/>
      <c r="N61" s="7">
        <f t="shared" si="18"/>
        <v>0</v>
      </c>
      <c r="O61" s="11"/>
      <c r="P61" s="6">
        <v>1293.6500000000001</v>
      </c>
      <c r="Q61" s="2"/>
      <c r="R61" s="7">
        <f t="shared" si="19"/>
        <v>1.1954903882813058E-3</v>
      </c>
      <c r="S61" s="2"/>
      <c r="T61" s="6"/>
      <c r="U61" s="2"/>
      <c r="V61" s="7">
        <f t="shared" si="20"/>
        <v>0</v>
      </c>
      <c r="W61" s="2"/>
      <c r="X61" s="6">
        <f t="shared" si="21"/>
        <v>1293.6500000000001</v>
      </c>
      <c r="Y61" s="2"/>
      <c r="Z61" s="7">
        <f t="shared" si="22"/>
        <v>0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6">
        <v>1278.1500000000001</v>
      </c>
      <c r="E62" s="2"/>
      <c r="F62" s="7">
        <f t="shared" si="15"/>
        <v>0.19838855379610296</v>
      </c>
      <c r="G62" s="2"/>
      <c r="H62" s="6">
        <v>1346.2077200000001</v>
      </c>
      <c r="I62" s="2"/>
      <c r="J62" s="7">
        <f t="shared" si="16"/>
        <v>0.10795571130713713</v>
      </c>
      <c r="K62" s="2"/>
      <c r="L62" s="6">
        <f t="shared" si="17"/>
        <v>-68.057720000000018</v>
      </c>
      <c r="M62" s="2"/>
      <c r="N62" s="7">
        <f t="shared" si="18"/>
        <v>-5.0555140182972663E-2</v>
      </c>
      <c r="O62" s="11"/>
      <c r="P62" s="6">
        <v>6162.85</v>
      </c>
      <c r="Q62" s="2"/>
      <c r="R62" s="7">
        <f t="shared" si="19"/>
        <v>5.6952250913457616E-3</v>
      </c>
      <c r="S62" s="2"/>
      <c r="T62" s="6">
        <v>7404.14246</v>
      </c>
      <c r="U62" s="2"/>
      <c r="V62" s="7">
        <f t="shared" si="20"/>
        <v>4.1804128840511054E-3</v>
      </c>
      <c r="W62" s="2"/>
      <c r="X62" s="6">
        <f t="shared" si="21"/>
        <v>-1241.2924599999997</v>
      </c>
      <c r="Y62" s="2"/>
      <c r="Z62" s="7">
        <f t="shared" si="22"/>
        <v>-0.16764837612268196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6">
        <v>1046.08</v>
      </c>
      <c r="E63" s="2"/>
      <c r="F63" s="7">
        <f t="shared" si="15"/>
        <v>0.16236771768182715</v>
      </c>
      <c r="G63" s="2"/>
      <c r="H63" s="6">
        <v>1061.17071076923</v>
      </c>
      <c r="I63" s="2"/>
      <c r="J63" s="7">
        <f t="shared" si="16"/>
        <v>8.5097891801862877E-2</v>
      </c>
      <c r="K63" s="2"/>
      <c r="L63" s="6">
        <f t="shared" si="17"/>
        <v>-15.0907107692301</v>
      </c>
      <c r="M63" s="2"/>
      <c r="N63" s="7">
        <f t="shared" si="18"/>
        <v>-1.4220813499734669E-2</v>
      </c>
      <c r="O63" s="11"/>
      <c r="P63" s="6">
        <v>5296.78</v>
      </c>
      <c r="Q63" s="2"/>
      <c r="R63" s="7">
        <f t="shared" si="19"/>
        <v>4.8948707755889567E-3</v>
      </c>
      <c r="S63" s="2"/>
      <c r="T63" s="6">
        <v>7000.1764092307703</v>
      </c>
      <c r="U63" s="2"/>
      <c r="V63" s="7">
        <f t="shared" si="20"/>
        <v>3.9523317939750878E-3</v>
      </c>
      <c r="W63" s="2"/>
      <c r="X63" s="6">
        <f t="shared" si="21"/>
        <v>-1703.3964092307706</v>
      </c>
      <c r="Y63" s="2"/>
      <c r="Z63" s="7">
        <f t="shared" si="22"/>
        <v>-0.2433362117824045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6">
        <v>595.08000000000004</v>
      </c>
      <c r="E64" s="2"/>
      <c r="F64" s="7">
        <f t="shared" si="15"/>
        <v>9.2365575709411993E-2</v>
      </c>
      <c r="G64" s="2"/>
      <c r="H64" s="6">
        <v>750</v>
      </c>
      <c r="I64" s="2"/>
      <c r="J64" s="7">
        <f t="shared" si="16"/>
        <v>6.0144346431435444E-2</v>
      </c>
      <c r="K64" s="2"/>
      <c r="L64" s="6">
        <f t="shared" si="17"/>
        <v>-154.91999999999996</v>
      </c>
      <c r="M64" s="2"/>
      <c r="N64" s="7">
        <f t="shared" si="18"/>
        <v>-0.20655999999999994</v>
      </c>
      <c r="O64" s="11"/>
      <c r="P64" s="6">
        <v>2477.13</v>
      </c>
      <c r="Q64" s="2"/>
      <c r="R64" s="7">
        <f t="shared" si="19"/>
        <v>2.2891702589752025E-3</v>
      </c>
      <c r="S64" s="2"/>
      <c r="T64" s="6">
        <v>3750</v>
      </c>
      <c r="U64" s="2"/>
      <c r="V64" s="7">
        <f t="shared" si="20"/>
        <v>2.1172672459886257E-3</v>
      </c>
      <c r="W64" s="2"/>
      <c r="X64" s="6">
        <f t="shared" si="21"/>
        <v>-1272.8699999999999</v>
      </c>
      <c r="Y64" s="2"/>
      <c r="Z64" s="7">
        <f t="shared" si="22"/>
        <v>-0.33943199999999996</v>
      </c>
    </row>
    <row r="65" spans="1:26" s="29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20893.93</v>
      </c>
      <c r="E65" s="1"/>
      <c r="F65" s="5">
        <f t="shared" ref="F65:F75" si="23">IF(D$12=0,0,D65/D$12)</f>
        <v>3.2430595437288341</v>
      </c>
      <c r="G65" s="1"/>
      <c r="H65" s="1">
        <f>SUM(OSRRefH22_1x_0)</f>
        <v>22343.002143692298</v>
      </c>
      <c r="I65" s="1"/>
      <c r="J65" s="5">
        <f t="shared" ref="J65:J75" si="24">IF(H$12=0,0,H65/H$12)</f>
        <v>1.7917403483313792</v>
      </c>
      <c r="K65" s="1"/>
      <c r="L65" s="1">
        <f t="shared" ref="L65:L75" si="25">+D65-H65</f>
        <v>-1449.0721436922977</v>
      </c>
      <c r="M65" s="1"/>
      <c r="N65" s="5">
        <f t="shared" ref="N65:N75" si="26">IF(H65=0,0,L65/H65)</f>
        <v>-6.4855749212797187E-2</v>
      </c>
      <c r="O65" s="14"/>
      <c r="P65" s="1">
        <f>SUM(OSRRefP22_1x_0)</f>
        <v>137338.75999999998</v>
      </c>
      <c r="Q65" s="1"/>
      <c r="R65" s="5">
        <f t="shared" ref="R65:R75" si="27">IF(P$12=0,0,P65/P$12)</f>
        <v>0.12691776563867585</v>
      </c>
      <c r="S65" s="1"/>
      <c r="T65" s="1">
        <f>SUM(OSRRefT22_1x_0)</f>
        <v>161677.7617903077</v>
      </c>
      <c r="U65" s="1"/>
      <c r="V65" s="5">
        <f t="shared" ref="V65:V75" si="28">IF(T$12=0,0,T65/T$12)</f>
        <v>9.1284007851565291E-2</v>
      </c>
      <c r="W65" s="1"/>
      <c r="X65" s="1">
        <f t="shared" ref="X65:X75" si="29">+P65-T65</f>
        <v>-24339.001790307724</v>
      </c>
      <c r="Y65" s="1"/>
      <c r="Z65" s="5">
        <f t="shared" ref="Z65:Z75" si="30">IF(T65=0,0,X65/T65)</f>
        <v>-0.15054019501998575</v>
      </c>
    </row>
    <row r="66" spans="1:26" s="24" customFormat="1" hidden="1" outlineLevel="2" x14ac:dyDescent="0.25">
      <c r="A66" s="28"/>
      <c r="B66" s="11" t="str">
        <f>CONCATENATE("          ", "6001", " - ", "ADMINISTRATIVE SALARIES")</f>
        <v xml:space="preserve">          6001 - ADMINISTRATIVE SALARIES</v>
      </c>
      <c r="C66" s="11"/>
      <c r="D66" s="6"/>
      <c r="E66" s="2"/>
      <c r="F66" s="7">
        <f t="shared" si="23"/>
        <v>0</v>
      </c>
      <c r="G66" s="2"/>
      <c r="H66" s="6">
        <v>0</v>
      </c>
      <c r="I66" s="2"/>
      <c r="J66" s="7">
        <f t="shared" si="24"/>
        <v>0</v>
      </c>
      <c r="K66" s="2"/>
      <c r="L66" s="6">
        <f t="shared" si="25"/>
        <v>0</v>
      </c>
      <c r="M66" s="2"/>
      <c r="N66" s="7">
        <f t="shared" si="26"/>
        <v>0</v>
      </c>
      <c r="O66" s="11"/>
      <c r="P66" s="6">
        <v>-311.32</v>
      </c>
      <c r="Q66" s="2"/>
      <c r="R66" s="7">
        <f t="shared" si="27"/>
        <v>-2.8769765213136172E-4</v>
      </c>
      <c r="S66" s="2"/>
      <c r="T66" s="6">
        <v>0</v>
      </c>
      <c r="U66" s="2"/>
      <c r="V66" s="7">
        <f t="shared" si="28"/>
        <v>0</v>
      </c>
      <c r="W66" s="2"/>
      <c r="X66" s="6">
        <f t="shared" si="29"/>
        <v>-311.32</v>
      </c>
      <c r="Y66" s="2"/>
      <c r="Z66" s="7">
        <f t="shared" si="30"/>
        <v>0</v>
      </c>
    </row>
    <row r="67" spans="1:26" s="24" customFormat="1" hidden="1" outlineLevel="2" x14ac:dyDescent="0.25">
      <c r="A67" s="28"/>
      <c r="B67" s="11" t="str">
        <f>CONCATENATE("          ", "6002", " - ", "STAFF SALARIES")</f>
        <v xml:space="preserve">          6002 - STAFF SALARIES</v>
      </c>
      <c r="C67" s="11"/>
      <c r="D67" s="6">
        <v>14271.35</v>
      </c>
      <c r="E67" s="2"/>
      <c r="F67" s="7">
        <f t="shared" si="23"/>
        <v>2.2151331903282196</v>
      </c>
      <c r="G67" s="2"/>
      <c r="H67" s="6">
        <v>13107.2520636923</v>
      </c>
      <c r="I67" s="2"/>
      <c r="J67" s="7">
        <f t="shared" si="24"/>
        <v>1.051102811843809</v>
      </c>
      <c r="K67" s="2"/>
      <c r="L67" s="6">
        <f t="shared" si="25"/>
        <v>1164.0979363077004</v>
      </c>
      <c r="M67" s="2"/>
      <c r="N67" s="7">
        <f t="shared" si="26"/>
        <v>8.8813271511906447E-2</v>
      </c>
      <c r="O67" s="11"/>
      <c r="P67" s="6">
        <v>78415.5</v>
      </c>
      <c r="Q67" s="2"/>
      <c r="R67" s="7">
        <f t="shared" si="27"/>
        <v>7.2465486447085933E-2</v>
      </c>
      <c r="S67" s="2"/>
      <c r="T67" s="6">
        <v>72089.886350307701</v>
      </c>
      <c r="U67" s="2"/>
      <c r="V67" s="7">
        <f t="shared" si="28"/>
        <v>4.07022813697464E-2</v>
      </c>
      <c r="W67" s="2"/>
      <c r="X67" s="6">
        <f t="shared" si="29"/>
        <v>6325.6136496922991</v>
      </c>
      <c r="Y67" s="2"/>
      <c r="Z67" s="7">
        <f t="shared" si="30"/>
        <v>8.7746200888070891E-2</v>
      </c>
    </row>
    <row r="68" spans="1:26" s="24" customFormat="1" hidden="1" outlineLevel="2" x14ac:dyDescent="0.25">
      <c r="A68" s="28"/>
      <c r="B68" s="11" t="str">
        <f>CONCATENATE("          ", "6003", " - ", "STAFF HOURLY-9 MONTH")</f>
        <v xml:space="preserve">          6003 - STAFF HOURLY-9 MONTH</v>
      </c>
      <c r="C68" s="11"/>
      <c r="D68" s="6"/>
      <c r="E68" s="2"/>
      <c r="F68" s="7">
        <f t="shared" si="23"/>
        <v>0</v>
      </c>
      <c r="G68" s="2"/>
      <c r="H68" s="6">
        <v>0</v>
      </c>
      <c r="I68" s="2"/>
      <c r="J68" s="7">
        <f t="shared" si="24"/>
        <v>0</v>
      </c>
      <c r="K68" s="2"/>
      <c r="L68" s="6">
        <f t="shared" si="25"/>
        <v>0</v>
      </c>
      <c r="M68" s="2"/>
      <c r="N68" s="7">
        <f t="shared" si="26"/>
        <v>0</v>
      </c>
      <c r="O68" s="11"/>
      <c r="P68" s="6"/>
      <c r="Q68" s="2"/>
      <c r="R68" s="7">
        <f t="shared" si="27"/>
        <v>0</v>
      </c>
      <c r="S68" s="2"/>
      <c r="T68" s="6">
        <v>0</v>
      </c>
      <c r="U68" s="2"/>
      <c r="V68" s="7">
        <f t="shared" si="28"/>
        <v>0</v>
      </c>
      <c r="W68" s="2"/>
      <c r="X68" s="6">
        <f t="shared" si="29"/>
        <v>0</v>
      </c>
      <c r="Y68" s="2"/>
      <c r="Z68" s="7">
        <f t="shared" si="30"/>
        <v>0</v>
      </c>
    </row>
    <row r="69" spans="1:26" s="24" customFormat="1" hidden="1" outlineLevel="2" x14ac:dyDescent="0.25">
      <c r="A69" s="28"/>
      <c r="B69" s="11" t="str">
        <f>CONCATENATE("          ", "6004", " - ", "STAFF HOURLY")</f>
        <v xml:space="preserve">          6004 - STAFF HOURLY</v>
      </c>
      <c r="C69" s="11"/>
      <c r="D69" s="6">
        <v>5370.49</v>
      </c>
      <c r="E69" s="2"/>
      <c r="F69" s="7">
        <f t="shared" si="23"/>
        <v>0.83358271273045637</v>
      </c>
      <c r="G69" s="2"/>
      <c r="H69" s="6">
        <v>5285.7500799999998</v>
      </c>
      <c r="I69" s="2"/>
      <c r="J69" s="7">
        <f t="shared" si="24"/>
        <v>0.42387731194867678</v>
      </c>
      <c r="K69" s="2"/>
      <c r="L69" s="6">
        <f t="shared" si="25"/>
        <v>84.739919999999984</v>
      </c>
      <c r="M69" s="2"/>
      <c r="N69" s="7">
        <f t="shared" si="26"/>
        <v>1.6031768191355728E-2</v>
      </c>
      <c r="O69" s="11"/>
      <c r="P69" s="6">
        <v>32682.01</v>
      </c>
      <c r="Q69" s="2"/>
      <c r="R69" s="7">
        <f t="shared" si="27"/>
        <v>3.0202163510001555E-2</v>
      </c>
      <c r="S69" s="2"/>
      <c r="T69" s="6">
        <v>29071.62544</v>
      </c>
      <c r="U69" s="2"/>
      <c r="V69" s="7">
        <f t="shared" si="28"/>
        <v>1.6413973421803108E-2</v>
      </c>
      <c r="W69" s="2"/>
      <c r="X69" s="6">
        <f t="shared" si="29"/>
        <v>3610.3845599999986</v>
      </c>
      <c r="Y69" s="2"/>
      <c r="Z69" s="7">
        <f t="shared" si="30"/>
        <v>0.1241892912885575</v>
      </c>
    </row>
    <row r="70" spans="1:26" s="24" customFormat="1" hidden="1" outlineLevel="2" x14ac:dyDescent="0.25">
      <c r="A70" s="28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3"/>
        <v>0</v>
      </c>
      <c r="G70" s="2"/>
      <c r="H70" s="6">
        <v>2850</v>
      </c>
      <c r="I70" s="2"/>
      <c r="J70" s="7">
        <f t="shared" si="24"/>
        <v>0.2285485164394547</v>
      </c>
      <c r="K70" s="2"/>
      <c r="L70" s="6">
        <f t="shared" si="25"/>
        <v>-2850</v>
      </c>
      <c r="M70" s="2"/>
      <c r="N70" s="7">
        <f t="shared" si="26"/>
        <v>-1</v>
      </c>
      <c r="O70" s="11"/>
      <c r="P70" s="6">
        <v>12838</v>
      </c>
      <c r="Q70" s="2"/>
      <c r="R70" s="7">
        <f t="shared" si="27"/>
        <v>1.1863877868631703E-2</v>
      </c>
      <c r="S70" s="2"/>
      <c r="T70" s="6">
        <v>17100</v>
      </c>
      <c r="U70" s="2"/>
      <c r="V70" s="7">
        <f t="shared" si="28"/>
        <v>9.6547386417081323E-3</v>
      </c>
      <c r="W70" s="2"/>
      <c r="X70" s="6">
        <f t="shared" si="29"/>
        <v>-4262</v>
      </c>
      <c r="Y70" s="2"/>
      <c r="Z70" s="7">
        <f t="shared" si="30"/>
        <v>-0.24923976608187134</v>
      </c>
    </row>
    <row r="71" spans="1:26" s="24" customFormat="1" hidden="1" outlineLevel="2" x14ac:dyDescent="0.25">
      <c r="A71" s="28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>
        <v>502.29</v>
      </c>
      <c r="Q71" s="2"/>
      <c r="R71" s="7">
        <f t="shared" si="27"/>
        <v>4.6417722500662235E-4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502.29</v>
      </c>
      <c r="Y71" s="2"/>
      <c r="Z71" s="7">
        <f t="shared" si="30"/>
        <v>0</v>
      </c>
    </row>
    <row r="72" spans="1:26" s="24" customFormat="1" hidden="1" outlineLevel="2" x14ac:dyDescent="0.25">
      <c r="A72" s="28"/>
      <c r="B72" s="11" t="str">
        <f>CONCATENATE("          ", "6007", " - ", "STUDENT HOURLY")</f>
        <v xml:space="preserve">          6007 - STUDENT HOURLY</v>
      </c>
      <c r="C72" s="11"/>
      <c r="D72" s="6">
        <v>1252.0899999999999</v>
      </c>
      <c r="E72" s="2"/>
      <c r="F72" s="7">
        <f t="shared" si="23"/>
        <v>0.19434364067015805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1252.0899999999999</v>
      </c>
      <c r="M72" s="2"/>
      <c r="N72" s="7">
        <f t="shared" si="26"/>
        <v>0</v>
      </c>
      <c r="O72" s="11"/>
      <c r="P72" s="6">
        <v>13212.28</v>
      </c>
      <c r="Q72" s="2"/>
      <c r="R72" s="7">
        <f t="shared" si="27"/>
        <v>1.2209758240081421E-2</v>
      </c>
      <c r="S72" s="2"/>
      <c r="T72" s="6">
        <v>13387.5</v>
      </c>
      <c r="U72" s="2"/>
      <c r="V72" s="7">
        <f t="shared" si="28"/>
        <v>7.5586440681793933E-3</v>
      </c>
      <c r="W72" s="2"/>
      <c r="X72" s="6">
        <f t="shared" si="29"/>
        <v>-175.21999999999935</v>
      </c>
      <c r="Y72" s="2"/>
      <c r="Z72" s="7">
        <f t="shared" si="30"/>
        <v>-1.3088328664799203E-2</v>
      </c>
    </row>
    <row r="73" spans="1:26" s="24" customFormat="1" hidden="1" outlineLevel="2" x14ac:dyDescent="0.25">
      <c r="A73" s="28"/>
      <c r="B73" s="11" t="str">
        <f>CONCATENATE("          ", "6008", " - ", "STUDENT HOURLY-FICA EXEMPT")</f>
        <v xml:space="preserve">          6008 - STUDENT HOURLY-FICA EXEMPT</v>
      </c>
      <c r="C73" s="11"/>
      <c r="D73" s="6"/>
      <c r="E73" s="2"/>
      <c r="F73" s="7">
        <f t="shared" si="23"/>
        <v>0</v>
      </c>
      <c r="G73" s="2"/>
      <c r="H73" s="6">
        <v>1100</v>
      </c>
      <c r="I73" s="2"/>
      <c r="J73" s="7">
        <f t="shared" si="24"/>
        <v>8.8211708099438652E-2</v>
      </c>
      <c r="K73" s="2"/>
      <c r="L73" s="6">
        <f t="shared" si="25"/>
        <v>-1100</v>
      </c>
      <c r="M73" s="2"/>
      <c r="N73" s="7">
        <f t="shared" si="26"/>
        <v>-1</v>
      </c>
      <c r="O73" s="11"/>
      <c r="P73" s="6"/>
      <c r="Q73" s="2"/>
      <c r="R73" s="7">
        <f t="shared" si="27"/>
        <v>0</v>
      </c>
      <c r="S73" s="2"/>
      <c r="T73" s="6">
        <v>30028.75</v>
      </c>
      <c r="U73" s="2"/>
      <c r="V73" s="7">
        <f t="shared" si="28"/>
        <v>1.6954370350128249E-2</v>
      </c>
      <c r="W73" s="2"/>
      <c r="X73" s="6">
        <f t="shared" si="29"/>
        <v>-30028.75</v>
      </c>
      <c r="Y73" s="2"/>
      <c r="Z73" s="7">
        <f t="shared" si="30"/>
        <v>-1</v>
      </c>
    </row>
    <row r="74" spans="1:26" s="24" customFormat="1" hidden="1" outlineLevel="2" x14ac:dyDescent="0.25">
      <c r="A74" s="28"/>
      <c r="B74" s="11" t="str">
        <f>CONCATENATE("          ", "6009", " - ", "TEMPORARY-SEASONAL")</f>
        <v xml:space="preserve">          6009 - TEMPORARY-SEASONAL</v>
      </c>
      <c r="C74" s="11"/>
      <c r="D74" s="6"/>
      <c r="E74" s="2"/>
      <c r="F74" s="7">
        <f t="shared" si="23"/>
        <v>0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0</v>
      </c>
      <c r="M74" s="2"/>
      <c r="N74" s="7">
        <f t="shared" si="26"/>
        <v>0</v>
      </c>
      <c r="O74" s="11"/>
      <c r="P74" s="6"/>
      <c r="Q74" s="2"/>
      <c r="R74" s="7">
        <f t="shared" si="27"/>
        <v>0</v>
      </c>
      <c r="S74" s="2"/>
      <c r="T74" s="6">
        <v>0</v>
      </c>
      <c r="U74" s="2"/>
      <c r="V74" s="7">
        <f t="shared" si="28"/>
        <v>0</v>
      </c>
      <c r="W74" s="2"/>
      <c r="X74" s="6">
        <f t="shared" si="29"/>
        <v>0</v>
      </c>
      <c r="Y74" s="2"/>
      <c r="Z74" s="7">
        <f t="shared" si="30"/>
        <v>0</v>
      </c>
    </row>
    <row r="75" spans="1:26" s="24" customFormat="1" hidden="1" outlineLevel="2" x14ac:dyDescent="0.25">
      <c r="A75" s="28"/>
      <c r="B75" s="11" t="str">
        <f>CONCATENATE("          ", "6010", " - ", "GRATUITY")</f>
        <v xml:space="preserve">          6010 - GRATUITY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/>
      <c r="Q75" s="2"/>
      <c r="R75" s="7">
        <f t="shared" si="27"/>
        <v>0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0</v>
      </c>
      <c r="Y75" s="2"/>
      <c r="Z75" s="7">
        <f t="shared" si="30"/>
        <v>0</v>
      </c>
    </row>
    <row r="76" spans="1:26" s="29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0</v>
      </c>
      <c r="E76" s="1"/>
      <c r="F76" s="5">
        <f t="shared" ref="F76:F88" si="31">IF(D$12=0,0,D76/D$12)</f>
        <v>0</v>
      </c>
      <c r="G76" s="1"/>
      <c r="H76" s="1">
        <f>SUM(OSRRefH22_2x_0)</f>
        <v>100</v>
      </c>
      <c r="I76" s="1"/>
      <c r="J76" s="5">
        <f t="shared" ref="J76:J88" si="32">IF(H$12=0,0,H76/H$12)</f>
        <v>8.0192461908580592E-3</v>
      </c>
      <c r="K76" s="1"/>
      <c r="L76" s="1">
        <f t="shared" ref="L76:L88" si="33">+D76-H76</f>
        <v>-100</v>
      </c>
      <c r="M76" s="1"/>
      <c r="N76" s="5">
        <f t="shared" ref="N76:N88" si="34">IF(H76=0,0,L76/H76)</f>
        <v>-1</v>
      </c>
      <c r="O76" s="14"/>
      <c r="P76" s="1">
        <f>SUM(OSRRefP22_2x_0)</f>
        <v>1359.88</v>
      </c>
      <c r="Q76" s="1"/>
      <c r="R76" s="5">
        <f t="shared" ref="R76:R88" si="35">IF(P$12=0,0,P76/P$12)</f>
        <v>1.2566949864460883E-3</v>
      </c>
      <c r="S76" s="1"/>
      <c r="T76" s="1">
        <f>SUM(OSRRefT22_2x_0)</f>
        <v>1350</v>
      </c>
      <c r="U76" s="1"/>
      <c r="V76" s="5">
        <f t="shared" ref="V76:V88" si="36">IF(T$12=0,0,T76/T$12)</f>
        <v>7.6221620855590521E-4</v>
      </c>
      <c r="W76" s="1"/>
      <c r="X76" s="1">
        <f t="shared" ref="X76:X88" si="37">+P76-T76</f>
        <v>9.8800000000001091</v>
      </c>
      <c r="Y76" s="1"/>
      <c r="Z76" s="5">
        <f t="shared" ref="Z76:Z88" si="38">IF(T76=0,0,X76/T76)</f>
        <v>7.3185185185185991E-3</v>
      </c>
    </row>
    <row r="77" spans="1:26" s="24" customFormat="1" hidden="1" outlineLevel="2" x14ac:dyDescent="0.25">
      <c r="A77" s="28"/>
      <c r="B77" s="11" t="str">
        <f>CONCATENATE("          ", "6362", " - ", "ADVERTISING EXPENSE")</f>
        <v xml:space="preserve">          6362 - ADVERTISING EXPENSE</v>
      </c>
      <c r="C77" s="11"/>
      <c r="D77" s="6"/>
      <c r="E77" s="2"/>
      <c r="F77" s="7">
        <f t="shared" si="31"/>
        <v>0</v>
      </c>
      <c r="G77" s="2"/>
      <c r="H77" s="6">
        <v>100</v>
      </c>
      <c r="I77" s="2"/>
      <c r="J77" s="7">
        <f t="shared" si="32"/>
        <v>8.0192461908580592E-3</v>
      </c>
      <c r="K77" s="2"/>
      <c r="L77" s="6">
        <f t="shared" si="33"/>
        <v>-100</v>
      </c>
      <c r="M77" s="2"/>
      <c r="N77" s="7">
        <f t="shared" si="34"/>
        <v>-1</v>
      </c>
      <c r="O77" s="11"/>
      <c r="P77" s="6">
        <v>1359.88</v>
      </c>
      <c r="Q77" s="2"/>
      <c r="R77" s="7">
        <f t="shared" si="35"/>
        <v>1.2566949864460883E-3</v>
      </c>
      <c r="S77" s="2"/>
      <c r="T77" s="6">
        <v>1350</v>
      </c>
      <c r="U77" s="2"/>
      <c r="V77" s="7">
        <f t="shared" si="36"/>
        <v>7.6221620855590521E-4</v>
      </c>
      <c r="W77" s="2"/>
      <c r="X77" s="6">
        <f t="shared" si="37"/>
        <v>9.8800000000001091</v>
      </c>
      <c r="Y77" s="2"/>
      <c r="Z77" s="7">
        <f t="shared" si="38"/>
        <v>7.3185185185185991E-3</v>
      </c>
    </row>
    <row r="78" spans="1:26" s="29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31"/>
        <v>0</v>
      </c>
      <c r="G78" s="1"/>
      <c r="H78" s="1">
        <f>SUM(OSRRefH22_3x_0)</f>
        <v>1400</v>
      </c>
      <c r="I78" s="1"/>
      <c r="J78" s="5">
        <f t="shared" si="32"/>
        <v>0.11226944667201283</v>
      </c>
      <c r="K78" s="1"/>
      <c r="L78" s="1">
        <f t="shared" si="33"/>
        <v>-1400</v>
      </c>
      <c r="M78" s="1"/>
      <c r="N78" s="5">
        <f t="shared" si="34"/>
        <v>-1</v>
      </c>
      <c r="O78" s="14"/>
      <c r="P78" s="1">
        <f>SUM(OSRRefP22_3x_0)</f>
        <v>0</v>
      </c>
      <c r="Q78" s="1"/>
      <c r="R78" s="5">
        <f t="shared" si="35"/>
        <v>0</v>
      </c>
      <c r="S78" s="1"/>
      <c r="T78" s="1">
        <f>SUM(OSRRefT22_3x_0)</f>
        <v>8800</v>
      </c>
      <c r="U78" s="1"/>
      <c r="V78" s="5">
        <f t="shared" si="36"/>
        <v>4.9685204705866414E-3</v>
      </c>
      <c r="W78" s="1"/>
      <c r="X78" s="1">
        <f t="shared" si="37"/>
        <v>-8800</v>
      </c>
      <c r="Y78" s="1"/>
      <c r="Z78" s="5">
        <f t="shared" si="38"/>
        <v>-1</v>
      </c>
    </row>
    <row r="79" spans="1:26" s="24" customFormat="1" hidden="1" outlineLevel="2" x14ac:dyDescent="0.25">
      <c r="A79" s="28"/>
      <c r="B79" s="11" t="str">
        <f>CONCATENATE("          ", "6382", " - ", "DISCOUNTS/MARK DOWNS")</f>
        <v xml:space="preserve">          6382 - DISCOUNTS/MARK DOWNS</v>
      </c>
      <c r="C79" s="11"/>
      <c r="D79" s="6"/>
      <c r="E79" s="2"/>
      <c r="F79" s="7">
        <f t="shared" si="31"/>
        <v>0</v>
      </c>
      <c r="G79" s="2"/>
      <c r="H79" s="6">
        <v>1400</v>
      </c>
      <c r="I79" s="2"/>
      <c r="J79" s="7">
        <f t="shared" si="32"/>
        <v>0.11226944667201283</v>
      </c>
      <c r="K79" s="2"/>
      <c r="L79" s="6">
        <f t="shared" si="33"/>
        <v>-1400</v>
      </c>
      <c r="M79" s="2"/>
      <c r="N79" s="7">
        <f t="shared" si="34"/>
        <v>-1</v>
      </c>
      <c r="O79" s="11"/>
      <c r="P79" s="6"/>
      <c r="Q79" s="2"/>
      <c r="R79" s="7">
        <f t="shared" si="35"/>
        <v>0</v>
      </c>
      <c r="S79" s="2"/>
      <c r="T79" s="6">
        <v>8800</v>
      </c>
      <c r="U79" s="2"/>
      <c r="V79" s="7">
        <f t="shared" si="36"/>
        <v>4.9685204705866414E-3</v>
      </c>
      <c r="W79" s="2"/>
      <c r="X79" s="6">
        <f t="shared" si="37"/>
        <v>-8800</v>
      </c>
      <c r="Y79" s="2"/>
      <c r="Z79" s="7">
        <f t="shared" si="38"/>
        <v>-1</v>
      </c>
    </row>
    <row r="80" spans="1:26" s="29" customFormat="1" outlineLevel="1" collapsed="1" x14ac:dyDescent="0.25">
      <c r="A80" s="27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SUM(OSRRefD22_4x_0)</f>
        <v>0</v>
      </c>
      <c r="E80" s="1"/>
      <c r="F80" s="5">
        <f t="shared" si="31"/>
        <v>0</v>
      </c>
      <c r="G80" s="1"/>
      <c r="H80" s="1">
        <f>SUM(OSRRefH22_4x_0)</f>
        <v>75</v>
      </c>
      <c r="I80" s="1"/>
      <c r="J80" s="5">
        <f t="shared" si="32"/>
        <v>6.0144346431435444E-3</v>
      </c>
      <c r="K80" s="1"/>
      <c r="L80" s="1">
        <f t="shared" si="33"/>
        <v>-75</v>
      </c>
      <c r="M80" s="1"/>
      <c r="N80" s="5">
        <f t="shared" si="34"/>
        <v>-1</v>
      </c>
      <c r="O80" s="14"/>
      <c r="P80" s="1">
        <f>SUM(OSRRefP22_4x_0)</f>
        <v>107.7</v>
      </c>
      <c r="Q80" s="1"/>
      <c r="R80" s="5">
        <f t="shared" si="35"/>
        <v>9.9527936318089615E-5</v>
      </c>
      <c r="S80" s="1"/>
      <c r="T80" s="1">
        <f>SUM(OSRRefT22_4x_0)</f>
        <v>375</v>
      </c>
      <c r="U80" s="1"/>
      <c r="V80" s="5">
        <f t="shared" si="36"/>
        <v>2.1172672459886255E-4</v>
      </c>
      <c r="W80" s="1"/>
      <c r="X80" s="1">
        <f t="shared" si="37"/>
        <v>-267.3</v>
      </c>
      <c r="Y80" s="1"/>
      <c r="Z80" s="5">
        <f t="shared" si="38"/>
        <v>-0.71279999999999999</v>
      </c>
    </row>
    <row r="81" spans="1:26" s="24" customFormat="1" hidden="1" outlineLevel="2" x14ac:dyDescent="0.25">
      <c r="A81" s="28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1"/>
        <v>0</v>
      </c>
      <c r="G81" s="2"/>
      <c r="H81" s="6">
        <v>75</v>
      </c>
      <c r="I81" s="2"/>
      <c r="J81" s="7">
        <f t="shared" si="32"/>
        <v>6.0144346431435444E-3</v>
      </c>
      <c r="K81" s="2"/>
      <c r="L81" s="6">
        <f t="shared" si="33"/>
        <v>-75</v>
      </c>
      <c r="M81" s="2"/>
      <c r="N81" s="7">
        <f t="shared" si="34"/>
        <v>-1</v>
      </c>
      <c r="O81" s="11"/>
      <c r="P81" s="6">
        <v>107.7</v>
      </c>
      <c r="Q81" s="2"/>
      <c r="R81" s="7">
        <f t="shared" si="35"/>
        <v>9.9527936318089615E-5</v>
      </c>
      <c r="S81" s="2"/>
      <c r="T81" s="6">
        <v>375</v>
      </c>
      <c r="U81" s="2"/>
      <c r="V81" s="7">
        <f t="shared" si="36"/>
        <v>2.1172672459886255E-4</v>
      </c>
      <c r="W81" s="2"/>
      <c r="X81" s="6">
        <f t="shared" si="37"/>
        <v>-267.3</v>
      </c>
      <c r="Y81" s="2"/>
      <c r="Z81" s="7">
        <f t="shared" si="38"/>
        <v>-0.71279999999999999</v>
      </c>
    </row>
    <row r="82" spans="1:26" s="29" customFormat="1" outlineLevel="1" collapsed="1" x14ac:dyDescent="0.25">
      <c r="A82" s="27"/>
      <c r="B82" s="14" t="str">
        <f>CONCATENATE("     ","Equipment Rental                                  ")</f>
        <v xml:space="preserve">     Equipment Rental                                  </v>
      </c>
      <c r="C82" s="14"/>
      <c r="D82" s="1">
        <f>SUM(OSRRefD22_5x_0)</f>
        <v>91.26</v>
      </c>
      <c r="E82" s="1"/>
      <c r="F82" s="5">
        <f t="shared" si="31"/>
        <v>1.4164956710427067E-2</v>
      </c>
      <c r="G82" s="1"/>
      <c r="H82" s="1">
        <f>SUM(OSRRefH22_5x_0)</f>
        <v>100</v>
      </c>
      <c r="I82" s="1"/>
      <c r="J82" s="5">
        <f t="shared" si="32"/>
        <v>8.0192461908580592E-3</v>
      </c>
      <c r="K82" s="1"/>
      <c r="L82" s="1">
        <f t="shared" si="33"/>
        <v>-8.7399999999999949</v>
      </c>
      <c r="M82" s="1"/>
      <c r="N82" s="5">
        <f t="shared" si="34"/>
        <v>-8.739999999999995E-2</v>
      </c>
      <c r="O82" s="14"/>
      <c r="P82" s="1">
        <f>SUM(OSRRefP22_5x_0)</f>
        <v>547.55999999999995</v>
      </c>
      <c r="Q82" s="1"/>
      <c r="R82" s="5">
        <f t="shared" si="35"/>
        <v>5.0601222665118981E-4</v>
      </c>
      <c r="S82" s="1"/>
      <c r="T82" s="1">
        <f>SUM(OSRRefT22_5x_0)</f>
        <v>500</v>
      </c>
      <c r="U82" s="1"/>
      <c r="V82" s="5">
        <f t="shared" si="36"/>
        <v>2.8230229946515006E-4</v>
      </c>
      <c r="W82" s="1"/>
      <c r="X82" s="1">
        <f t="shared" si="37"/>
        <v>47.559999999999945</v>
      </c>
      <c r="Y82" s="1"/>
      <c r="Z82" s="5">
        <f t="shared" si="38"/>
        <v>9.5119999999999885E-2</v>
      </c>
    </row>
    <row r="83" spans="1:26" s="24" customFormat="1" hidden="1" outlineLevel="2" x14ac:dyDescent="0.25">
      <c r="A83" s="28"/>
      <c r="B83" s="11" t="str">
        <f>CONCATENATE("          ", "6351", " - ", "EQUIPMENT RENTAL")</f>
        <v xml:space="preserve">          6351 - EQUIPMENT RENTAL</v>
      </c>
      <c r="C83" s="11"/>
      <c r="D83" s="6">
        <v>91.26</v>
      </c>
      <c r="E83" s="2"/>
      <c r="F83" s="7">
        <f t="shared" si="31"/>
        <v>1.4164956710427067E-2</v>
      </c>
      <c r="G83" s="2"/>
      <c r="H83" s="6">
        <v>100</v>
      </c>
      <c r="I83" s="2"/>
      <c r="J83" s="7">
        <f t="shared" si="32"/>
        <v>8.0192461908580592E-3</v>
      </c>
      <c r="K83" s="2"/>
      <c r="L83" s="6">
        <f t="shared" si="33"/>
        <v>-8.7399999999999949</v>
      </c>
      <c r="M83" s="2"/>
      <c r="N83" s="7">
        <f t="shared" si="34"/>
        <v>-8.739999999999995E-2</v>
      </c>
      <c r="O83" s="11"/>
      <c r="P83" s="6">
        <v>547.55999999999995</v>
      </c>
      <c r="Q83" s="2"/>
      <c r="R83" s="7">
        <f t="shared" si="35"/>
        <v>5.0601222665118981E-4</v>
      </c>
      <c r="S83" s="2"/>
      <c r="T83" s="6">
        <v>500</v>
      </c>
      <c r="U83" s="2"/>
      <c r="V83" s="7">
        <f t="shared" si="36"/>
        <v>2.8230229946515006E-4</v>
      </c>
      <c r="W83" s="2"/>
      <c r="X83" s="6">
        <f t="shared" si="37"/>
        <v>47.559999999999945</v>
      </c>
      <c r="Y83" s="2"/>
      <c r="Z83" s="7">
        <f t="shared" si="38"/>
        <v>9.5119999999999885E-2</v>
      </c>
    </row>
    <row r="84" spans="1:26" s="29" customFormat="1" outlineLevel="1" collapsed="1" x14ac:dyDescent="0.25">
      <c r="A84" s="27"/>
      <c r="B84" s="14" t="str">
        <f>CONCATENATE("     ","Freight out/Postage                               ")</f>
        <v xml:space="preserve">     Freight out/Postage                               </v>
      </c>
      <c r="C84" s="14"/>
      <c r="D84" s="1">
        <f>SUM(OSRRefD22_6x_0)</f>
        <v>4164.83</v>
      </c>
      <c r="E84" s="1"/>
      <c r="F84" s="5">
        <f t="shared" si="31"/>
        <v>0.6464457227294319</v>
      </c>
      <c r="G84" s="1"/>
      <c r="H84" s="1">
        <f>SUM(OSRRefH22_6x_0)</f>
        <v>4000</v>
      </c>
      <c r="I84" s="1"/>
      <c r="J84" s="5">
        <f t="shared" si="32"/>
        <v>0.32076984763432237</v>
      </c>
      <c r="K84" s="1"/>
      <c r="L84" s="1">
        <f t="shared" si="33"/>
        <v>164.82999999999993</v>
      </c>
      <c r="M84" s="1"/>
      <c r="N84" s="5">
        <f t="shared" si="34"/>
        <v>4.120749999999998E-2</v>
      </c>
      <c r="O84" s="14"/>
      <c r="P84" s="1">
        <f>SUM(OSRRefP22_6x_0)</f>
        <v>4730.83</v>
      </c>
      <c r="Q84" s="1"/>
      <c r="R84" s="5">
        <f t="shared" si="35"/>
        <v>4.3718639458840093E-3</v>
      </c>
      <c r="S84" s="1"/>
      <c r="T84" s="1">
        <f>SUM(OSRRefT22_6x_0)</f>
        <v>9700</v>
      </c>
      <c r="U84" s="1"/>
      <c r="V84" s="5">
        <f t="shared" si="36"/>
        <v>5.4766646096239113E-3</v>
      </c>
      <c r="W84" s="1"/>
      <c r="X84" s="1">
        <f t="shared" si="37"/>
        <v>-4969.17</v>
      </c>
      <c r="Y84" s="1"/>
      <c r="Z84" s="5">
        <f t="shared" si="38"/>
        <v>-0.51228556701030925</v>
      </c>
    </row>
    <row r="85" spans="1:26" s="24" customFormat="1" hidden="1" outlineLevel="2" x14ac:dyDescent="0.25">
      <c r="A85" s="28"/>
      <c r="B85" s="11" t="str">
        <f>CONCATENATE("          ", "6305", " - ", "FREIGHT OUT")</f>
        <v xml:space="preserve">          6305 - FREIGHT OUT</v>
      </c>
      <c r="C85" s="11"/>
      <c r="D85" s="6">
        <v>4164.83</v>
      </c>
      <c r="E85" s="2"/>
      <c r="F85" s="7">
        <f t="shared" si="31"/>
        <v>0.6464457227294319</v>
      </c>
      <c r="G85" s="2"/>
      <c r="H85" s="6">
        <v>4000</v>
      </c>
      <c r="I85" s="2"/>
      <c r="J85" s="7">
        <f t="shared" si="32"/>
        <v>0.32076984763432237</v>
      </c>
      <c r="K85" s="2"/>
      <c r="L85" s="6">
        <f t="shared" si="33"/>
        <v>164.82999999999993</v>
      </c>
      <c r="M85" s="2"/>
      <c r="N85" s="7">
        <f t="shared" si="34"/>
        <v>4.120749999999998E-2</v>
      </c>
      <c r="O85" s="11"/>
      <c r="P85" s="6">
        <v>4730.83</v>
      </c>
      <c r="Q85" s="2"/>
      <c r="R85" s="7">
        <f t="shared" si="35"/>
        <v>4.3718639458840093E-3</v>
      </c>
      <c r="S85" s="2"/>
      <c r="T85" s="6">
        <v>9700</v>
      </c>
      <c r="U85" s="2"/>
      <c r="V85" s="7">
        <f t="shared" si="36"/>
        <v>5.4766646096239113E-3</v>
      </c>
      <c r="W85" s="2"/>
      <c r="X85" s="6">
        <f t="shared" si="37"/>
        <v>-4969.17</v>
      </c>
      <c r="Y85" s="2"/>
      <c r="Z85" s="7">
        <f t="shared" si="38"/>
        <v>-0.51228556701030925</v>
      </c>
    </row>
    <row r="86" spans="1:26" s="29" customFormat="1" outlineLevel="1" collapsed="1" x14ac:dyDescent="0.25">
      <c r="A86" s="27"/>
      <c r="B86" s="14" t="str">
        <f>CONCATENATE("     ","General                                           ")</f>
        <v xml:space="preserve">     General                                           </v>
      </c>
      <c r="C86" s="14"/>
      <c r="D86" s="1">
        <f>SUM(OSRRefD22_7x_0)</f>
        <v>3792.73</v>
      </c>
      <c r="E86" s="1"/>
      <c r="F86" s="5">
        <f t="shared" si="31"/>
        <v>0.58869007521737937</v>
      </c>
      <c r="G86" s="1"/>
      <c r="H86" s="1">
        <f>SUM(OSRRefH22_7x_0)</f>
        <v>1250</v>
      </c>
      <c r="I86" s="1"/>
      <c r="J86" s="5">
        <f t="shared" si="32"/>
        <v>0.10024057738572574</v>
      </c>
      <c r="K86" s="1"/>
      <c r="L86" s="1">
        <f t="shared" si="33"/>
        <v>2542.73</v>
      </c>
      <c r="M86" s="1"/>
      <c r="N86" s="5">
        <f t="shared" si="34"/>
        <v>2.0341840000000002</v>
      </c>
      <c r="O86" s="14"/>
      <c r="P86" s="1">
        <f>SUM(OSRRefP22_7x_0)</f>
        <v>-1041.46</v>
      </c>
      <c r="Q86" s="1"/>
      <c r="R86" s="5">
        <f t="shared" si="35"/>
        <v>-9.6243606831789789E-4</v>
      </c>
      <c r="S86" s="1"/>
      <c r="T86" s="1">
        <f>SUM(OSRRefT22_7x_0)</f>
        <v>1375</v>
      </c>
      <c r="U86" s="1"/>
      <c r="V86" s="5">
        <f t="shared" si="36"/>
        <v>7.7633132352916267E-4</v>
      </c>
      <c r="W86" s="1"/>
      <c r="X86" s="1">
        <f t="shared" si="37"/>
        <v>-2416.46</v>
      </c>
      <c r="Y86" s="1"/>
      <c r="Z86" s="5">
        <f t="shared" si="38"/>
        <v>-1.7574254545454546</v>
      </c>
    </row>
    <row r="87" spans="1:26" s="24" customFormat="1" hidden="1" outlineLevel="2" x14ac:dyDescent="0.25">
      <c r="A87" s="28"/>
      <c r="B87" s="11" t="str">
        <f>CONCATENATE("          ", "6269", " - ", "ENTERTAINMENT")</f>
        <v xml:space="preserve">          6269 - ENTERTAINMENT</v>
      </c>
      <c r="C87" s="11"/>
      <c r="D87" s="6"/>
      <c r="E87" s="2"/>
      <c r="F87" s="7">
        <f t="shared" si="31"/>
        <v>0</v>
      </c>
      <c r="G87" s="2"/>
      <c r="H87" s="6">
        <v>1250</v>
      </c>
      <c r="I87" s="2"/>
      <c r="J87" s="7">
        <f t="shared" si="32"/>
        <v>0.10024057738572574</v>
      </c>
      <c r="K87" s="2"/>
      <c r="L87" s="6">
        <f t="shared" si="33"/>
        <v>-1250</v>
      </c>
      <c r="M87" s="2"/>
      <c r="N87" s="7">
        <f t="shared" si="34"/>
        <v>-1</v>
      </c>
      <c r="O87" s="11"/>
      <c r="P87" s="6"/>
      <c r="Q87" s="2"/>
      <c r="R87" s="7">
        <f t="shared" si="35"/>
        <v>0</v>
      </c>
      <c r="S87" s="2"/>
      <c r="T87" s="6">
        <v>1375</v>
      </c>
      <c r="U87" s="2"/>
      <c r="V87" s="7">
        <f t="shared" si="36"/>
        <v>7.7633132352916267E-4</v>
      </c>
      <c r="W87" s="2"/>
      <c r="X87" s="6">
        <f t="shared" si="37"/>
        <v>-1375</v>
      </c>
      <c r="Y87" s="2"/>
      <c r="Z87" s="7">
        <f t="shared" si="38"/>
        <v>-1</v>
      </c>
    </row>
    <row r="88" spans="1:26" s="24" customFormat="1" hidden="1" outlineLevel="2" x14ac:dyDescent="0.25">
      <c r="A88" s="28"/>
      <c r="B88" s="11" t="str">
        <f>CONCATENATE("          ", "6279", " - ", "GENERAL EXPENSE")</f>
        <v xml:space="preserve">          6279 - GENERAL EXPENSE</v>
      </c>
      <c r="C88" s="11"/>
      <c r="D88" s="6">
        <v>3792.73</v>
      </c>
      <c r="E88" s="2"/>
      <c r="F88" s="7">
        <f t="shared" si="31"/>
        <v>0.58869007521737937</v>
      </c>
      <c r="G88" s="2"/>
      <c r="H88" s="6"/>
      <c r="I88" s="2"/>
      <c r="J88" s="7">
        <f t="shared" si="32"/>
        <v>0</v>
      </c>
      <c r="K88" s="2"/>
      <c r="L88" s="6">
        <f t="shared" si="33"/>
        <v>3792.73</v>
      </c>
      <c r="M88" s="2"/>
      <c r="N88" s="7">
        <f t="shared" si="34"/>
        <v>0</v>
      </c>
      <c r="O88" s="11"/>
      <c r="P88" s="6">
        <v>-1041.46</v>
      </c>
      <c r="Q88" s="2"/>
      <c r="R88" s="7">
        <f t="shared" si="35"/>
        <v>-9.6243606831789789E-4</v>
      </c>
      <c r="S88" s="2"/>
      <c r="T88" s="6"/>
      <c r="U88" s="2"/>
      <c r="V88" s="7">
        <f t="shared" si="36"/>
        <v>0</v>
      </c>
      <c r="W88" s="2"/>
      <c r="X88" s="6">
        <f t="shared" si="37"/>
        <v>-1041.46</v>
      </c>
      <c r="Y88" s="2"/>
      <c r="Z88" s="7">
        <f t="shared" si="38"/>
        <v>0</v>
      </c>
    </row>
    <row r="89" spans="1:26" s="29" customFormat="1" outlineLevel="1" collapsed="1" x14ac:dyDescent="0.25">
      <c r="A89" s="27"/>
      <c r="B89" s="14" t="str">
        <f>CONCATENATE("     ","Inventory Adjustment                              ")</f>
        <v xml:space="preserve">     Inventory Adjustment                              </v>
      </c>
      <c r="C89" s="14"/>
      <c r="D89" s="1">
        <f>SUM(OSRRefD22_8x_0)</f>
        <v>1000</v>
      </c>
      <c r="E89" s="1"/>
      <c r="F89" s="5">
        <f t="shared" ref="F89:F93" si="39">IF(D$12=0,0,D89/D$12)</f>
        <v>0.1552153924000336</v>
      </c>
      <c r="G89" s="1"/>
      <c r="H89" s="1">
        <f>SUM(OSRRefH22_8x_0)</f>
        <v>1000</v>
      </c>
      <c r="I89" s="1"/>
      <c r="J89" s="5">
        <f t="shared" ref="J89:J93" si="40">IF(H$12=0,0,H89/H$12)</f>
        <v>8.0192461908580592E-2</v>
      </c>
      <c r="K89" s="1"/>
      <c r="L89" s="1">
        <f t="shared" ref="L89:L93" si="41">+D89-H89</f>
        <v>0</v>
      </c>
      <c r="M89" s="1"/>
      <c r="N89" s="5">
        <f t="shared" ref="N89:N93" si="42">IF(H89=0,0,L89/H89)</f>
        <v>0</v>
      </c>
      <c r="O89" s="14"/>
      <c r="P89" s="1">
        <f>SUM(OSRRefP22_8x_0)</f>
        <v>5000</v>
      </c>
      <c r="Q89" s="1"/>
      <c r="R89" s="5">
        <f t="shared" ref="R89:R93" si="43">IF(P$12=0,0,P89/P$12)</f>
        <v>4.6206098569215228E-3</v>
      </c>
      <c r="S89" s="1"/>
      <c r="T89" s="1">
        <f>SUM(OSRRefT22_8x_0)</f>
        <v>5000</v>
      </c>
      <c r="U89" s="1"/>
      <c r="V89" s="5">
        <f t="shared" ref="V89:V93" si="44">IF(T$12=0,0,T89/T$12)</f>
        <v>2.8230229946515006E-3</v>
      </c>
      <c r="W89" s="1"/>
      <c r="X89" s="1">
        <f t="shared" ref="X89:X93" si="45">+P89-T89</f>
        <v>0</v>
      </c>
      <c r="Y89" s="1"/>
      <c r="Z89" s="5">
        <f t="shared" ref="Z89:Z93" si="46">IF(T89=0,0,X89/T89)</f>
        <v>0</v>
      </c>
    </row>
    <row r="90" spans="1:26" s="24" customFormat="1" hidden="1" outlineLevel="2" x14ac:dyDescent="0.25">
      <c r="A90" s="28"/>
      <c r="B90" s="11" t="str">
        <f>CONCATENATE("          ", "6408", " - ", "INVENTORY ADJUSTMENT")</f>
        <v xml:space="preserve">          6408 - INVENTORY ADJUSTMENT</v>
      </c>
      <c r="C90" s="11"/>
      <c r="D90" s="6">
        <v>1000</v>
      </c>
      <c r="E90" s="2"/>
      <c r="F90" s="7">
        <f t="shared" si="39"/>
        <v>0.1552153924000336</v>
      </c>
      <c r="G90" s="2"/>
      <c r="H90" s="6">
        <v>1000</v>
      </c>
      <c r="I90" s="2"/>
      <c r="J90" s="7">
        <f t="shared" si="40"/>
        <v>8.0192461908580592E-2</v>
      </c>
      <c r="K90" s="2"/>
      <c r="L90" s="6">
        <f t="shared" si="41"/>
        <v>0</v>
      </c>
      <c r="M90" s="2"/>
      <c r="N90" s="7">
        <f t="shared" si="42"/>
        <v>0</v>
      </c>
      <c r="O90" s="11"/>
      <c r="P90" s="6">
        <v>5000</v>
      </c>
      <c r="Q90" s="2"/>
      <c r="R90" s="7">
        <f t="shared" si="43"/>
        <v>4.6206098569215228E-3</v>
      </c>
      <c r="S90" s="2"/>
      <c r="T90" s="6">
        <v>5000</v>
      </c>
      <c r="U90" s="2"/>
      <c r="V90" s="7">
        <f t="shared" si="44"/>
        <v>2.8230229946515006E-3</v>
      </c>
      <c r="W90" s="2"/>
      <c r="X90" s="6">
        <f t="shared" si="45"/>
        <v>0</v>
      </c>
      <c r="Y90" s="2"/>
      <c r="Z90" s="7">
        <f t="shared" si="46"/>
        <v>0</v>
      </c>
    </row>
    <row r="91" spans="1:26" s="29" customFormat="1" outlineLevel="1" collapsed="1" x14ac:dyDescent="0.25">
      <c r="A91" s="27"/>
      <c r="B91" s="14" t="str">
        <f>CONCATENATE("     ","Repair and Maintenance                            ")</f>
        <v xml:space="preserve">     Repair and Maintenance                            </v>
      </c>
      <c r="C91" s="14"/>
      <c r="D91" s="1">
        <f>SUM(OSRRefD22_9x_0)</f>
        <v>22.16</v>
      </c>
      <c r="E91" s="1"/>
      <c r="F91" s="5">
        <f t="shared" si="39"/>
        <v>3.4395730955847446E-3</v>
      </c>
      <c r="G91" s="1"/>
      <c r="H91" s="1">
        <f>SUM(OSRRefH22_9x_0)</f>
        <v>140</v>
      </c>
      <c r="I91" s="1"/>
      <c r="J91" s="5">
        <f t="shared" si="40"/>
        <v>1.1226944667201283E-2</v>
      </c>
      <c r="K91" s="1"/>
      <c r="L91" s="1">
        <f t="shared" si="41"/>
        <v>-117.84</v>
      </c>
      <c r="M91" s="1"/>
      <c r="N91" s="5">
        <f t="shared" si="42"/>
        <v>-0.84171428571428575</v>
      </c>
      <c r="O91" s="14"/>
      <c r="P91" s="1">
        <f>SUM(OSRRefP22_9x_0)</f>
        <v>133.63</v>
      </c>
      <c r="Q91" s="1"/>
      <c r="R91" s="5">
        <f t="shared" si="43"/>
        <v>1.2349041903608461E-4</v>
      </c>
      <c r="S91" s="1"/>
      <c r="T91" s="1">
        <f>SUM(OSRRefT22_9x_0)</f>
        <v>700</v>
      </c>
      <c r="U91" s="1"/>
      <c r="V91" s="5">
        <f t="shared" si="44"/>
        <v>3.9522321925121006E-4</v>
      </c>
      <c r="W91" s="1"/>
      <c r="X91" s="1">
        <f t="shared" si="45"/>
        <v>-566.37</v>
      </c>
      <c r="Y91" s="1"/>
      <c r="Z91" s="5">
        <f t="shared" si="46"/>
        <v>-0.80910000000000004</v>
      </c>
    </row>
    <row r="92" spans="1:26" s="24" customFormat="1" hidden="1" outlineLevel="2" x14ac:dyDescent="0.25">
      <c r="A92" s="28"/>
      <c r="B92" s="11" t="str">
        <f>CONCATENATE("          ", "6373", " - ", "MAINTENANCE CONTRACTS")</f>
        <v xml:space="preserve">          6373 - MAINTENANCE CONTRACTS</v>
      </c>
      <c r="C92" s="11"/>
      <c r="D92" s="6">
        <v>22.16</v>
      </c>
      <c r="E92" s="2"/>
      <c r="F92" s="7">
        <f t="shared" si="39"/>
        <v>3.4395730955847446E-3</v>
      </c>
      <c r="G92" s="2"/>
      <c r="H92" s="6">
        <v>40</v>
      </c>
      <c r="I92" s="2"/>
      <c r="J92" s="7">
        <f t="shared" si="40"/>
        <v>3.2076984763432237E-3</v>
      </c>
      <c r="K92" s="2"/>
      <c r="L92" s="6">
        <f t="shared" si="41"/>
        <v>-17.84</v>
      </c>
      <c r="M92" s="2"/>
      <c r="N92" s="7">
        <f t="shared" si="42"/>
        <v>-0.44600000000000001</v>
      </c>
      <c r="O92" s="11"/>
      <c r="P92" s="6">
        <v>108.52</v>
      </c>
      <c r="Q92" s="2"/>
      <c r="R92" s="7">
        <f t="shared" si="43"/>
        <v>1.0028571633462473E-4</v>
      </c>
      <c r="S92" s="2"/>
      <c r="T92" s="6">
        <v>200</v>
      </c>
      <c r="U92" s="2"/>
      <c r="V92" s="7">
        <f t="shared" si="44"/>
        <v>1.1292091978606003E-4</v>
      </c>
      <c r="W92" s="2"/>
      <c r="X92" s="6">
        <f t="shared" si="45"/>
        <v>-91.48</v>
      </c>
      <c r="Y92" s="2"/>
      <c r="Z92" s="7">
        <f t="shared" si="46"/>
        <v>-0.45740000000000003</v>
      </c>
    </row>
    <row r="93" spans="1:26" s="24" customFormat="1" hidden="1" outlineLevel="2" x14ac:dyDescent="0.25">
      <c r="A93" s="28"/>
      <c r="B93" s="11" t="str">
        <f>CONCATENATE("          ", "6375", " - ", "OUTSIDE REPAIRS &amp; MAINTENANCE")</f>
        <v xml:space="preserve">          6375 - OUTSIDE REPAIRS &amp; MAINTENANCE</v>
      </c>
      <c r="C93" s="11"/>
      <c r="D93" s="6"/>
      <c r="E93" s="2"/>
      <c r="F93" s="7">
        <f t="shared" si="39"/>
        <v>0</v>
      </c>
      <c r="G93" s="2"/>
      <c r="H93" s="6">
        <v>100</v>
      </c>
      <c r="I93" s="2"/>
      <c r="J93" s="7">
        <f t="shared" si="40"/>
        <v>8.0192461908580592E-3</v>
      </c>
      <c r="K93" s="2"/>
      <c r="L93" s="6">
        <f t="shared" si="41"/>
        <v>-100</v>
      </c>
      <c r="M93" s="2"/>
      <c r="N93" s="7">
        <f t="shared" si="42"/>
        <v>-1</v>
      </c>
      <c r="O93" s="11"/>
      <c r="P93" s="6">
        <v>25.11</v>
      </c>
      <c r="Q93" s="2"/>
      <c r="R93" s="7">
        <f t="shared" si="43"/>
        <v>2.3204702701459887E-5</v>
      </c>
      <c r="S93" s="2"/>
      <c r="T93" s="6">
        <v>500</v>
      </c>
      <c r="U93" s="2"/>
      <c r="V93" s="7">
        <f t="shared" si="44"/>
        <v>2.8230229946515006E-4</v>
      </c>
      <c r="W93" s="2"/>
      <c r="X93" s="6">
        <f t="shared" si="45"/>
        <v>-474.89</v>
      </c>
      <c r="Y93" s="2"/>
      <c r="Z93" s="7">
        <f t="shared" si="46"/>
        <v>-0.94977999999999996</v>
      </c>
    </row>
    <row r="94" spans="1:26" s="29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SUM(OSRRefD22_10x_0)</f>
        <v>166.92</v>
      </c>
      <c r="E94" s="1"/>
      <c r="F94" s="5">
        <f t="shared" ref="F94:F99" si="47">IF(D$12=0,0,D94/D$12)</f>
        <v>2.5908553299413606E-2</v>
      </c>
      <c r="G94" s="1"/>
      <c r="H94" s="1">
        <f>SUM(OSRRefH22_10x_0)</f>
        <v>300</v>
      </c>
      <c r="I94" s="1"/>
      <c r="J94" s="5">
        <f t="shared" ref="J94:J99" si="48">IF(H$12=0,0,H94/H$12)</f>
        <v>2.4057738572574178E-2</v>
      </c>
      <c r="K94" s="1"/>
      <c r="L94" s="1">
        <f t="shared" ref="L94:L99" si="49">+D94-H94</f>
        <v>-133.08000000000001</v>
      </c>
      <c r="M94" s="1"/>
      <c r="N94" s="5">
        <f t="shared" ref="N94:N99" si="50">IF(H94=0,0,L94/H94)</f>
        <v>-0.44360000000000005</v>
      </c>
      <c r="O94" s="14"/>
      <c r="P94" s="1">
        <f>SUM(OSRRefP22_10x_0)</f>
        <v>1590.28</v>
      </c>
      <c r="Q94" s="1"/>
      <c r="R94" s="5">
        <f t="shared" ref="R94:R99" si="51">IF(P$12=0,0,P94/P$12)</f>
        <v>1.4696126886530319E-3</v>
      </c>
      <c r="S94" s="1"/>
      <c r="T94" s="1">
        <f>SUM(OSRRefT22_10x_0)</f>
        <v>1500</v>
      </c>
      <c r="U94" s="1"/>
      <c r="V94" s="5">
        <f t="shared" ref="V94:V99" si="52">IF(T$12=0,0,T94/T$12)</f>
        <v>8.4690689839545018E-4</v>
      </c>
      <c r="W94" s="1"/>
      <c r="X94" s="1">
        <f t="shared" ref="X94:X99" si="53">+P94-T94</f>
        <v>90.279999999999973</v>
      </c>
      <c r="Y94" s="1"/>
      <c r="Z94" s="5">
        <f t="shared" ref="Z94:Z99" si="54">IF(T94=0,0,X94/T94)</f>
        <v>6.0186666666666645E-2</v>
      </c>
    </row>
    <row r="95" spans="1:26" s="24" customFormat="1" hidden="1" outlineLevel="2" x14ac:dyDescent="0.25">
      <c r="A95" s="28"/>
      <c r="B95" s="11" t="str">
        <f>CONCATENATE("          ", "6258", " - ", "MEMBERSHIP DUES")</f>
        <v xml:space="preserve">          6258 - MEMBERSHIP DUES</v>
      </c>
      <c r="C95" s="11"/>
      <c r="D95" s="6">
        <v>166.92</v>
      </c>
      <c r="E95" s="2"/>
      <c r="F95" s="7">
        <f t="shared" si="47"/>
        <v>2.5908553299413606E-2</v>
      </c>
      <c r="G95" s="2"/>
      <c r="H95" s="6">
        <v>300</v>
      </c>
      <c r="I95" s="2"/>
      <c r="J95" s="7">
        <f t="shared" si="48"/>
        <v>2.4057738572574178E-2</v>
      </c>
      <c r="K95" s="2"/>
      <c r="L95" s="6">
        <f t="shared" si="49"/>
        <v>-133.08000000000001</v>
      </c>
      <c r="M95" s="2"/>
      <c r="N95" s="7">
        <f t="shared" si="50"/>
        <v>-0.44360000000000005</v>
      </c>
      <c r="O95" s="11"/>
      <c r="P95" s="6">
        <v>1590.28</v>
      </c>
      <c r="Q95" s="2"/>
      <c r="R95" s="7">
        <f t="shared" si="51"/>
        <v>1.4696126886530319E-3</v>
      </c>
      <c r="S95" s="2"/>
      <c r="T95" s="6">
        <v>1500</v>
      </c>
      <c r="U95" s="2"/>
      <c r="V95" s="7">
        <f t="shared" si="52"/>
        <v>8.4690689839545018E-4</v>
      </c>
      <c r="W95" s="2"/>
      <c r="X95" s="6">
        <f t="shared" si="53"/>
        <v>90.279999999999973</v>
      </c>
      <c r="Y95" s="2"/>
      <c r="Z95" s="7">
        <f t="shared" si="54"/>
        <v>6.0186666666666645E-2</v>
      </c>
    </row>
    <row r="96" spans="1:26" s="29" customFormat="1" outlineLevel="1" collapsed="1" x14ac:dyDescent="0.25">
      <c r="A96" s="27"/>
      <c r="B96" s="14" t="str">
        <f>CONCATENATE("     ","Supplies                                          ")</f>
        <v xml:space="preserve">     Supplies                                          </v>
      </c>
      <c r="C96" s="14"/>
      <c r="D96" s="1">
        <f>SUM(OSRRefD22_11x_0)</f>
        <v>311.44</v>
      </c>
      <c r="E96" s="1"/>
      <c r="F96" s="5">
        <f t="shared" si="47"/>
        <v>4.8340281809066465E-2</v>
      </c>
      <c r="G96" s="1"/>
      <c r="H96" s="1">
        <f>SUM(OSRRefH22_11x_0)</f>
        <v>600</v>
      </c>
      <c r="I96" s="1"/>
      <c r="J96" s="5">
        <f t="shared" si="48"/>
        <v>4.8115477145148355E-2</v>
      </c>
      <c r="K96" s="1"/>
      <c r="L96" s="1">
        <f t="shared" si="49"/>
        <v>-288.56</v>
      </c>
      <c r="M96" s="1"/>
      <c r="N96" s="5">
        <f t="shared" si="50"/>
        <v>-0.48093333333333332</v>
      </c>
      <c r="O96" s="14"/>
      <c r="P96" s="1">
        <f>SUM(OSRRefP22_11x_0)</f>
        <v>1546.69</v>
      </c>
      <c r="Q96" s="1"/>
      <c r="R96" s="5">
        <f t="shared" si="51"/>
        <v>1.4293302119203902E-3</v>
      </c>
      <c r="S96" s="1"/>
      <c r="T96" s="1">
        <f>SUM(OSRRefT22_11x_0)</f>
        <v>5200</v>
      </c>
      <c r="U96" s="1"/>
      <c r="V96" s="5">
        <f t="shared" si="52"/>
        <v>2.9359439144375607E-3</v>
      </c>
      <c r="W96" s="1"/>
      <c r="X96" s="1">
        <f t="shared" si="53"/>
        <v>-3653.31</v>
      </c>
      <c r="Y96" s="1"/>
      <c r="Z96" s="5">
        <f t="shared" si="54"/>
        <v>-0.70255961538461542</v>
      </c>
    </row>
    <row r="97" spans="1:26" s="24" customFormat="1" hidden="1" outlineLevel="2" x14ac:dyDescent="0.25">
      <c r="A97" s="28"/>
      <c r="B97" s="11" t="str">
        <f>CONCATENATE("          ", "6241", " - ", "OFFICE EXPENSE")</f>
        <v xml:space="preserve">          6241 - OFFICE EXPENSE</v>
      </c>
      <c r="C97" s="11"/>
      <c r="D97" s="6">
        <v>311.44</v>
      </c>
      <c r="E97" s="2"/>
      <c r="F97" s="7">
        <f t="shared" si="47"/>
        <v>4.8340281809066465E-2</v>
      </c>
      <c r="G97" s="2"/>
      <c r="H97" s="6">
        <v>300</v>
      </c>
      <c r="I97" s="2"/>
      <c r="J97" s="7">
        <f t="shared" si="48"/>
        <v>2.4057738572574178E-2</v>
      </c>
      <c r="K97" s="2"/>
      <c r="L97" s="6">
        <f t="shared" si="49"/>
        <v>11.439999999999998</v>
      </c>
      <c r="M97" s="2"/>
      <c r="N97" s="7">
        <f t="shared" si="50"/>
        <v>3.8133333333333325E-2</v>
      </c>
      <c r="O97" s="11"/>
      <c r="P97" s="6">
        <v>913.59</v>
      </c>
      <c r="Q97" s="2"/>
      <c r="R97" s="7">
        <f t="shared" si="51"/>
        <v>8.4426859183698688E-4</v>
      </c>
      <c r="S97" s="2"/>
      <c r="T97" s="6">
        <v>1800</v>
      </c>
      <c r="U97" s="2"/>
      <c r="V97" s="7">
        <f t="shared" si="52"/>
        <v>1.0162882780745401E-3</v>
      </c>
      <c r="W97" s="2"/>
      <c r="X97" s="6">
        <f t="shared" si="53"/>
        <v>-886.41</v>
      </c>
      <c r="Y97" s="2"/>
      <c r="Z97" s="7">
        <f t="shared" si="54"/>
        <v>-0.49245</v>
      </c>
    </row>
    <row r="98" spans="1:26" s="24" customFormat="1" hidden="1" outlineLevel="2" x14ac:dyDescent="0.25">
      <c r="A98" s="28"/>
      <c r="B98" s="11" t="str">
        <f>CONCATENATE("          ", "6245", " - ", "PRINTING")</f>
        <v xml:space="preserve">          6245 - PRINTING</v>
      </c>
      <c r="C98" s="11"/>
      <c r="D98" s="6"/>
      <c r="E98" s="2"/>
      <c r="F98" s="7">
        <f t="shared" si="47"/>
        <v>0</v>
      </c>
      <c r="G98" s="2"/>
      <c r="H98" s="6">
        <v>100</v>
      </c>
      <c r="I98" s="2"/>
      <c r="J98" s="7">
        <f t="shared" si="48"/>
        <v>8.0192461908580592E-3</v>
      </c>
      <c r="K98" s="2"/>
      <c r="L98" s="6">
        <f t="shared" si="49"/>
        <v>-100</v>
      </c>
      <c r="M98" s="2"/>
      <c r="N98" s="7">
        <f t="shared" si="50"/>
        <v>-1</v>
      </c>
      <c r="O98" s="11"/>
      <c r="P98" s="6"/>
      <c r="Q98" s="2"/>
      <c r="R98" s="7">
        <f t="shared" si="51"/>
        <v>0</v>
      </c>
      <c r="S98" s="2"/>
      <c r="T98" s="6">
        <v>800</v>
      </c>
      <c r="U98" s="2"/>
      <c r="V98" s="7">
        <f t="shared" si="52"/>
        <v>4.5168367914424012E-4</v>
      </c>
      <c r="W98" s="2"/>
      <c r="X98" s="6">
        <f t="shared" si="53"/>
        <v>-800</v>
      </c>
      <c r="Y98" s="2"/>
      <c r="Z98" s="7">
        <f t="shared" si="54"/>
        <v>-1</v>
      </c>
    </row>
    <row r="99" spans="1:26" s="24" customFormat="1" hidden="1" outlineLevel="2" x14ac:dyDescent="0.25">
      <c r="A99" s="28"/>
      <c r="B99" s="11" t="str">
        <f>CONCATENATE("          ", "6247", " - ", "STORE SUPPLIES")</f>
        <v xml:space="preserve">          6247 - STORE SUPPLIES</v>
      </c>
      <c r="C99" s="11"/>
      <c r="D99" s="6"/>
      <c r="E99" s="2"/>
      <c r="F99" s="7">
        <f t="shared" si="47"/>
        <v>0</v>
      </c>
      <c r="G99" s="2"/>
      <c r="H99" s="6">
        <v>200</v>
      </c>
      <c r="I99" s="2"/>
      <c r="J99" s="7">
        <f t="shared" si="48"/>
        <v>1.6038492381716118E-2</v>
      </c>
      <c r="K99" s="2"/>
      <c r="L99" s="6">
        <f t="shared" si="49"/>
        <v>-200</v>
      </c>
      <c r="M99" s="2"/>
      <c r="N99" s="7">
        <f t="shared" si="50"/>
        <v>-1</v>
      </c>
      <c r="O99" s="11"/>
      <c r="P99" s="6">
        <v>633.1</v>
      </c>
      <c r="Q99" s="2"/>
      <c r="R99" s="7">
        <f t="shared" si="51"/>
        <v>5.8506162008340325E-4</v>
      </c>
      <c r="S99" s="2"/>
      <c r="T99" s="6">
        <v>2600</v>
      </c>
      <c r="U99" s="2"/>
      <c r="V99" s="7">
        <f t="shared" si="52"/>
        <v>1.4679719572187804E-3</v>
      </c>
      <c r="W99" s="2"/>
      <c r="X99" s="6">
        <f t="shared" si="53"/>
        <v>-1966.9</v>
      </c>
      <c r="Y99" s="2"/>
      <c r="Z99" s="7">
        <f t="shared" si="54"/>
        <v>-0.75650000000000006</v>
      </c>
    </row>
    <row r="100" spans="1:26" s="29" customFormat="1" outlineLevel="1" collapsed="1" x14ac:dyDescent="0.25">
      <c r="A100" s="27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SUM(OSRRefD22_12x_0)</f>
        <v>1346.65</v>
      </c>
      <c r="E100" s="1"/>
      <c r="F100" s="5">
        <f t="shared" ref="F100:F102" si="55">IF(D$12=0,0,D100/D$12)</f>
        <v>0.20902080817550525</v>
      </c>
      <c r="G100" s="1"/>
      <c r="H100" s="1">
        <f>SUM(OSRRefH22_12x_0)</f>
        <v>600</v>
      </c>
      <c r="I100" s="1"/>
      <c r="J100" s="5">
        <f t="shared" ref="J100:J102" si="56">IF(H$12=0,0,H100/H$12)</f>
        <v>4.8115477145148355E-2</v>
      </c>
      <c r="K100" s="1"/>
      <c r="L100" s="1">
        <f t="shared" ref="L100:L102" si="57">+D100-H100</f>
        <v>746.65000000000009</v>
      </c>
      <c r="M100" s="1"/>
      <c r="N100" s="5">
        <f t="shared" ref="N100:N102" si="58">IF(H100=0,0,L100/H100)</f>
        <v>1.2444166666666667</v>
      </c>
      <c r="O100" s="14"/>
      <c r="P100" s="1">
        <f>SUM(OSRRefP22_12x_0)</f>
        <v>4580.5</v>
      </c>
      <c r="Q100" s="1"/>
      <c r="R100" s="5">
        <f t="shared" ref="R100:R102" si="59">IF(P$12=0,0,P100/P$12)</f>
        <v>4.2329406899258076E-3</v>
      </c>
      <c r="S100" s="1"/>
      <c r="T100" s="1">
        <f>SUM(OSRRefT22_12x_0)</f>
        <v>4500</v>
      </c>
      <c r="U100" s="1"/>
      <c r="V100" s="5">
        <f t="shared" ref="V100:V102" si="60">IF(T$12=0,0,T100/T$12)</f>
        <v>2.5407206951863505E-3</v>
      </c>
      <c r="W100" s="1"/>
      <c r="X100" s="1">
        <f t="shared" ref="X100:X102" si="61">+P100-T100</f>
        <v>80.5</v>
      </c>
      <c r="Y100" s="1"/>
      <c r="Z100" s="5">
        <f t="shared" ref="Z100:Z102" si="62">IF(T100=0,0,X100/T100)</f>
        <v>1.7888888888888888E-2</v>
      </c>
    </row>
    <row r="101" spans="1:26" s="24" customFormat="1" hidden="1" outlineLevel="2" x14ac:dyDescent="0.25">
      <c r="A101" s="28"/>
      <c r="B101" s="11" t="str">
        <f>CONCATENATE("          ", "6303", " - ", "DATA PHONE LINES")</f>
        <v xml:space="preserve">          6303 - DATA PHONE LINES</v>
      </c>
      <c r="C101" s="11"/>
      <c r="D101" s="6">
        <v>885</v>
      </c>
      <c r="E101" s="2"/>
      <c r="F101" s="7">
        <f t="shared" si="55"/>
        <v>0.13736562227402974</v>
      </c>
      <c r="G101" s="2"/>
      <c r="H101" s="6">
        <v>300</v>
      </c>
      <c r="I101" s="2"/>
      <c r="J101" s="7">
        <f t="shared" si="56"/>
        <v>2.4057738572574178E-2</v>
      </c>
      <c r="K101" s="2"/>
      <c r="L101" s="6">
        <f t="shared" si="57"/>
        <v>585</v>
      </c>
      <c r="M101" s="2"/>
      <c r="N101" s="7">
        <f t="shared" si="58"/>
        <v>1.95</v>
      </c>
      <c r="O101" s="11"/>
      <c r="P101" s="6">
        <v>2065</v>
      </c>
      <c r="Q101" s="2"/>
      <c r="R101" s="7">
        <f t="shared" si="59"/>
        <v>1.9083118709085889E-3</v>
      </c>
      <c r="S101" s="2"/>
      <c r="T101" s="6">
        <v>1500</v>
      </c>
      <c r="U101" s="2"/>
      <c r="V101" s="7">
        <f t="shared" si="60"/>
        <v>8.4690689839545018E-4</v>
      </c>
      <c r="W101" s="2"/>
      <c r="X101" s="6">
        <f t="shared" si="61"/>
        <v>565</v>
      </c>
      <c r="Y101" s="2"/>
      <c r="Z101" s="7">
        <f t="shared" si="62"/>
        <v>0.37666666666666665</v>
      </c>
    </row>
    <row r="102" spans="1:26" s="24" customFormat="1" hidden="1" outlineLevel="2" x14ac:dyDescent="0.25">
      <c r="A102" s="28"/>
      <c r="B102" s="11" t="str">
        <f>CONCATENATE("          ", "6309", " - ", "TELEPHONE")</f>
        <v xml:space="preserve">          6309 - TELEPHONE</v>
      </c>
      <c r="C102" s="11"/>
      <c r="D102" s="6">
        <v>461.65</v>
      </c>
      <c r="E102" s="2"/>
      <c r="F102" s="7">
        <f t="shared" si="55"/>
        <v>7.1655185901475502E-2</v>
      </c>
      <c r="G102" s="2"/>
      <c r="H102" s="6">
        <v>300</v>
      </c>
      <c r="I102" s="2"/>
      <c r="J102" s="7">
        <f t="shared" si="56"/>
        <v>2.4057738572574178E-2</v>
      </c>
      <c r="K102" s="2"/>
      <c r="L102" s="6">
        <f t="shared" si="57"/>
        <v>161.64999999999998</v>
      </c>
      <c r="M102" s="2"/>
      <c r="N102" s="7">
        <f t="shared" si="58"/>
        <v>0.53883333333333328</v>
      </c>
      <c r="O102" s="11"/>
      <c r="P102" s="6">
        <v>2515.5</v>
      </c>
      <c r="Q102" s="2"/>
      <c r="R102" s="7">
        <f t="shared" si="59"/>
        <v>2.3246288190172182E-3</v>
      </c>
      <c r="S102" s="2"/>
      <c r="T102" s="6">
        <v>3000</v>
      </c>
      <c r="U102" s="2"/>
      <c r="V102" s="7">
        <f t="shared" si="60"/>
        <v>1.6938137967909004E-3</v>
      </c>
      <c r="W102" s="2"/>
      <c r="X102" s="6">
        <f t="shared" si="61"/>
        <v>-484.5</v>
      </c>
      <c r="Y102" s="2"/>
      <c r="Z102" s="7">
        <f t="shared" si="62"/>
        <v>-0.1615</v>
      </c>
    </row>
    <row r="103" spans="1:26" s="29" customFormat="1" outlineLevel="1" collapsed="1" x14ac:dyDescent="0.25">
      <c r="A103" s="27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SUM(OSRRefD22_13x_0)</f>
        <v>0</v>
      </c>
      <c r="E103" s="1"/>
      <c r="F103" s="5">
        <f t="shared" ref="F103:F104" si="63">IF(D$12=0,0,D103/D$12)</f>
        <v>0</v>
      </c>
      <c r="G103" s="1"/>
      <c r="H103" s="1">
        <f>SUM(OSRRefH22_13x_0)</f>
        <v>0</v>
      </c>
      <c r="I103" s="1"/>
      <c r="J103" s="5">
        <f t="shared" ref="J103:J104" si="64">IF(H$12=0,0,H103/H$12)</f>
        <v>0</v>
      </c>
      <c r="K103" s="1"/>
      <c r="L103" s="1">
        <f t="shared" ref="L103:L104" si="65">+D103-H103</f>
        <v>0</v>
      </c>
      <c r="M103" s="1"/>
      <c r="N103" s="5">
        <f t="shared" ref="N103:N104" si="66">IF(H103=0,0,L103/H103)</f>
        <v>0</v>
      </c>
      <c r="O103" s="14"/>
      <c r="P103" s="1">
        <f>SUM(OSRRefP22_13x_0)</f>
        <v>0.16</v>
      </c>
      <c r="Q103" s="1"/>
      <c r="R103" s="5">
        <f t="shared" ref="R103:R104" si="67">IF(P$12=0,0,P103/P$12)</f>
        <v>1.4785951542148875E-7</v>
      </c>
      <c r="S103" s="1"/>
      <c r="T103" s="1">
        <f>SUM(OSRRefT22_13x_0)</f>
        <v>0</v>
      </c>
      <c r="U103" s="1"/>
      <c r="V103" s="5">
        <f t="shared" ref="V103:V104" si="68">IF(T$12=0,0,T103/T$12)</f>
        <v>0</v>
      </c>
      <c r="W103" s="1"/>
      <c r="X103" s="1">
        <f t="shared" ref="X103:X104" si="69">+P103-T103</f>
        <v>0.16</v>
      </c>
      <c r="Y103" s="1"/>
      <c r="Z103" s="5">
        <f t="shared" ref="Z103:Z104" si="70">IF(T103=0,0,X103/T103)</f>
        <v>0</v>
      </c>
    </row>
    <row r="104" spans="1:26" s="24" customFormat="1" hidden="1" outlineLevel="2" x14ac:dyDescent="0.25">
      <c r="A104" s="28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63"/>
        <v>0</v>
      </c>
      <c r="G104" s="2"/>
      <c r="H104" s="6"/>
      <c r="I104" s="2"/>
      <c r="J104" s="7">
        <f t="shared" si="64"/>
        <v>0</v>
      </c>
      <c r="K104" s="2"/>
      <c r="L104" s="6">
        <f t="shared" si="65"/>
        <v>0</v>
      </c>
      <c r="M104" s="2"/>
      <c r="N104" s="7">
        <f t="shared" si="66"/>
        <v>0</v>
      </c>
      <c r="O104" s="11"/>
      <c r="P104" s="6">
        <v>0.16</v>
      </c>
      <c r="Q104" s="2"/>
      <c r="R104" s="7">
        <f t="shared" si="67"/>
        <v>1.4785951542148875E-7</v>
      </c>
      <c r="S104" s="2"/>
      <c r="T104" s="6"/>
      <c r="U104" s="2"/>
      <c r="V104" s="7">
        <f t="shared" si="68"/>
        <v>0</v>
      </c>
      <c r="W104" s="2"/>
      <c r="X104" s="6">
        <f t="shared" si="69"/>
        <v>0.16</v>
      </c>
      <c r="Y104" s="2"/>
      <c r="Z104" s="7">
        <f t="shared" si="70"/>
        <v>0</v>
      </c>
    </row>
    <row r="105" spans="1:26" s="62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6" t="s">
        <v>0</v>
      </c>
      <c r="C106" s="10"/>
      <c r="D106" s="4">
        <f>SUM(OSRRefD25x_0)</f>
        <v>917.38</v>
      </c>
      <c r="E106" s="4"/>
      <c r="F106" s="12">
        <f t="shared" ref="F106:F109" si="71">IF(D$12=0,0,D106/D$12)</f>
        <v>0.14239149667994283</v>
      </c>
      <c r="G106" s="4"/>
      <c r="H106" s="4">
        <f>SUM(OSRRefH25x_0)</f>
        <v>600</v>
      </c>
      <c r="I106" s="4"/>
      <c r="J106" s="12">
        <f t="shared" ref="J106:J109" si="72">IF(H$12=0,0,H106/H$12)</f>
        <v>4.8115477145148355E-2</v>
      </c>
      <c r="K106" s="4"/>
      <c r="L106" s="4">
        <f t="shared" ref="L106:L109" si="73">+D106-H106</f>
        <v>317.38</v>
      </c>
      <c r="M106" s="4"/>
      <c r="N106" s="12">
        <f t="shared" ref="N106:N109" si="74">IF(H106=0,0,L106/H106)</f>
        <v>0.5289666666666667</v>
      </c>
      <c r="O106" s="10"/>
      <c r="P106" s="4">
        <f>SUM(OSRRefP25x_0)</f>
        <v>162085.57000000004</v>
      </c>
      <c r="Q106" s="4"/>
      <c r="R106" s="12">
        <f t="shared" ref="R106:R109" si="75">IF(P$12=0,0,P106/P$12)</f>
        <v>0.14978683648134875</v>
      </c>
      <c r="S106" s="4"/>
      <c r="T106" s="4">
        <f>SUM(OSRRefT25x_0)</f>
        <v>102759</v>
      </c>
      <c r="U106" s="4"/>
      <c r="V106" s="12">
        <f t="shared" ref="V106:V109" si="76">IF(T$12=0,0,T106/T$12)</f>
        <v>5.8018203981478708E-2</v>
      </c>
      <c r="W106" s="4"/>
      <c r="X106" s="4">
        <f t="shared" ref="X106:X109" si="77">+P106-T106</f>
        <v>59326.570000000036</v>
      </c>
      <c r="Y106" s="4"/>
      <c r="Z106" s="12">
        <f t="shared" ref="Z106:Z109" si="78">IF(T106=0,0,X106/T106)</f>
        <v>0.57733697291721442</v>
      </c>
    </row>
    <row r="107" spans="1:26" s="24" customFormat="1" hidden="1" outlineLevel="1" x14ac:dyDescent="0.25">
      <c r="A107" s="51"/>
      <c r="B107" s="11" t="str">
        <f>CONCATENATE("          ", "9150", " - ", "MISC. INCOME")</f>
        <v xml:space="preserve">          9150 - MISC. INCOME</v>
      </c>
      <c r="C107" s="11"/>
      <c r="D107" s="2">
        <f>--662.17</f>
        <v>662.17</v>
      </c>
      <c r="E107" s="2"/>
      <c r="F107" s="22">
        <f t="shared" si="71"/>
        <v>0.10277897638553024</v>
      </c>
      <c r="G107" s="2"/>
      <c r="H107" s="2">
        <v>600</v>
      </c>
      <c r="I107" s="2"/>
      <c r="J107" s="22">
        <f t="shared" si="72"/>
        <v>4.8115477145148355E-2</v>
      </c>
      <c r="K107" s="2"/>
      <c r="L107" s="2">
        <f t="shared" si="73"/>
        <v>62.169999999999959</v>
      </c>
      <c r="M107" s="2"/>
      <c r="N107" s="22">
        <f t="shared" si="74"/>
        <v>0.10361666666666659</v>
      </c>
      <c r="O107" s="11"/>
      <c r="P107" s="2">
        <f>--12193.95</f>
        <v>12193.95</v>
      </c>
      <c r="Q107" s="2"/>
      <c r="R107" s="22">
        <f t="shared" si="75"/>
        <v>1.1268697112961641E-2</v>
      </c>
      <c r="S107" s="2"/>
      <c r="T107" s="2">
        <v>10500</v>
      </c>
      <c r="U107" s="2"/>
      <c r="V107" s="22">
        <f t="shared" si="76"/>
        <v>5.9283482887681517E-3</v>
      </c>
      <c r="W107" s="2"/>
      <c r="X107" s="2">
        <f t="shared" si="77"/>
        <v>1693.9500000000007</v>
      </c>
      <c r="Y107" s="2"/>
      <c r="Z107" s="22">
        <f t="shared" si="78"/>
        <v>0.16132857142857149</v>
      </c>
    </row>
    <row r="108" spans="1:26" s="24" customFormat="1" hidden="1" outlineLevel="1" x14ac:dyDescent="0.25">
      <c r="A108" s="51"/>
      <c r="B108" s="11" t="str">
        <f>CONCATENATE("          ", "9151", " - ", "MISC. INCOME")</f>
        <v xml:space="preserve">          9151 - MISC. INCOME</v>
      </c>
      <c r="C108" s="11"/>
      <c r="D108" s="2">
        <f>0</f>
        <v>0</v>
      </c>
      <c r="E108" s="2"/>
      <c r="F108" s="22">
        <f t="shared" si="71"/>
        <v>0</v>
      </c>
      <c r="G108" s="2"/>
      <c r="H108" s="2"/>
      <c r="I108" s="2"/>
      <c r="J108" s="22">
        <f t="shared" si="72"/>
        <v>0</v>
      </c>
      <c r="K108" s="2"/>
      <c r="L108" s="2">
        <f t="shared" si="73"/>
        <v>0</v>
      </c>
      <c r="M108" s="2"/>
      <c r="N108" s="22">
        <f t="shared" si="74"/>
        <v>0</v>
      </c>
      <c r="O108" s="11"/>
      <c r="P108" s="2">
        <f>--147285.39</f>
        <v>147285.39000000001</v>
      </c>
      <c r="Q108" s="2"/>
      <c r="R108" s="22">
        <f t="shared" si="75"/>
        <v>0.13610966496290616</v>
      </c>
      <c r="S108" s="2"/>
      <c r="T108" s="2">
        <v>92259</v>
      </c>
      <c r="U108" s="2"/>
      <c r="V108" s="22">
        <f t="shared" si="76"/>
        <v>5.208985569271056E-2</v>
      </c>
      <c r="W108" s="2"/>
      <c r="X108" s="2">
        <f t="shared" si="77"/>
        <v>55026.390000000014</v>
      </c>
      <c r="Y108" s="2"/>
      <c r="Z108" s="22">
        <f t="shared" si="78"/>
        <v>0.59643384385263243</v>
      </c>
    </row>
    <row r="109" spans="1:26" s="24" customFormat="1" hidden="1" outlineLevel="1" x14ac:dyDescent="0.25">
      <c r="A109" s="51"/>
      <c r="B109" s="11" t="str">
        <f>CONCATENATE("          ", "9152", " - ", "MISC. INCOME")</f>
        <v xml:space="preserve">          9152 - MISC. INCOME</v>
      </c>
      <c r="C109" s="11"/>
      <c r="D109" s="2">
        <f>--255.21</f>
        <v>255.21</v>
      </c>
      <c r="E109" s="2"/>
      <c r="F109" s="22">
        <f t="shared" si="71"/>
        <v>3.9612520294412576E-2</v>
      </c>
      <c r="G109" s="2"/>
      <c r="H109" s="2"/>
      <c r="I109" s="2"/>
      <c r="J109" s="22">
        <f t="shared" si="72"/>
        <v>0</v>
      </c>
      <c r="K109" s="2"/>
      <c r="L109" s="2">
        <f t="shared" si="73"/>
        <v>255.21</v>
      </c>
      <c r="M109" s="2"/>
      <c r="N109" s="22">
        <f t="shared" si="74"/>
        <v>0</v>
      </c>
      <c r="O109" s="11"/>
      <c r="P109" s="2">
        <f>--2606.23</f>
        <v>2606.23</v>
      </c>
      <c r="Q109" s="2"/>
      <c r="R109" s="22">
        <f t="shared" si="75"/>
        <v>2.4084744054809161E-3</v>
      </c>
      <c r="S109" s="2"/>
      <c r="T109" s="2"/>
      <c r="U109" s="2"/>
      <c r="V109" s="22">
        <f t="shared" si="76"/>
        <v>0</v>
      </c>
      <c r="W109" s="2"/>
      <c r="X109" s="2">
        <f t="shared" si="77"/>
        <v>2606.23</v>
      </c>
      <c r="Y109" s="2"/>
      <c r="Z109" s="22">
        <f t="shared" si="78"/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5" t="s">
        <v>3</v>
      </c>
      <c r="C111" s="25"/>
      <c r="D111" s="21">
        <f>+D51-D53+D106</f>
        <v>-42002.010000000053</v>
      </c>
      <c r="E111" s="13"/>
      <c r="F111" s="20">
        <f>IF(D$12=0,0,D111/D$12)</f>
        <v>-6.5193584637401436</v>
      </c>
      <c r="G111" s="13"/>
      <c r="H111" s="21">
        <f>+H51-H53+H106</f>
        <v>-39113.671973861528</v>
      </c>
      <c r="I111" s="13"/>
      <c r="J111" s="20">
        <f>IF(H$12=0,0,H111/H$12)</f>
        <v>-3.1366216498686068</v>
      </c>
      <c r="K111" s="16"/>
      <c r="L111" s="21">
        <f>+D111-H111</f>
        <v>-2888.3380261385246</v>
      </c>
      <c r="M111" s="16"/>
      <c r="N111" s="20">
        <f>IF(H111=0,0,L111/H111)</f>
        <v>7.384471670337453E-2</v>
      </c>
      <c r="O111" s="26"/>
      <c r="P111" s="21">
        <f>+P51-P53+P106</f>
        <v>262183.43999999989</v>
      </c>
      <c r="Q111" s="13"/>
      <c r="R111" s="20">
        <f>IF(P$12=0,0,P111/P$12)</f>
        <v>0.24228947743711843</v>
      </c>
      <c r="S111" s="13"/>
      <c r="T111" s="21">
        <f>+T51-T53+T106</f>
        <v>321743.27589376154</v>
      </c>
      <c r="U111" s="13"/>
      <c r="V111" s="20">
        <f>IF(T$12=0,0,T111/T$12)</f>
        <v>0.18165773324451814</v>
      </c>
      <c r="W111" s="16"/>
      <c r="X111" s="21">
        <f>+P111-T111</f>
        <v>-59559.835893761658</v>
      </c>
      <c r="Y111" s="16"/>
      <c r="Z111" s="20">
        <f>IF(T111=0,0,X111/T111)</f>
        <v>-0.18511602372516434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2"/>
      <c r="B113" s="10" t="s">
        <v>14</v>
      </c>
      <c r="C113" s="10"/>
      <c r="D113" s="4">
        <v>-61065.31</v>
      </c>
      <c r="E113" s="4"/>
      <c r="F113" s="12">
        <f>IF(D$12=0,0,D113/D$12)</f>
        <v>-9.4782760536796946</v>
      </c>
      <c r="G113" s="4"/>
      <c r="H113" s="4">
        <v>27954</v>
      </c>
      <c r="I113" s="4"/>
      <c r="J113" s="12">
        <f>IF(H$12=0,0,H113/H$12)</f>
        <v>2.2417000801924618</v>
      </c>
      <c r="K113" s="4"/>
      <c r="L113" s="4">
        <f>+D113-H113</f>
        <v>-89019.31</v>
      </c>
      <c r="M113" s="4"/>
      <c r="N113" s="12">
        <f>IF(H113=0,0,L113/H113)</f>
        <v>-3.1844927380696859</v>
      </c>
      <c r="O113" s="10"/>
      <c r="P113" s="4">
        <v>171947.02</v>
      </c>
      <c r="Q113" s="4"/>
      <c r="R113" s="12">
        <f>IF(P$12=0,0,P113/P$12)</f>
        <v>0.15890001909605644</v>
      </c>
      <c r="S113" s="4"/>
      <c r="T113" s="4">
        <v>315885</v>
      </c>
      <c r="U113" s="4"/>
      <c r="V113" s="12">
        <f>IF(T$12=0,0,T113/T$12)</f>
        <v>0.17835012373309786</v>
      </c>
      <c r="W113" s="4"/>
      <c r="X113" s="4">
        <f>+P113-T113</f>
        <v>-143937.98000000001</v>
      </c>
      <c r="Y113" s="4"/>
      <c r="Z113" s="12">
        <f>IF(T113=0,0,X113/T113)</f>
        <v>-0.45566576443959039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5" t="s">
        <v>4</v>
      </c>
      <c r="C115" s="25"/>
      <c r="D115" s="31">
        <f>+D111-D113</f>
        <v>19063.299999999945</v>
      </c>
      <c r="E115" s="13"/>
      <c r="F115" s="34">
        <f>IF(D$12=0,0,D115/D$12)</f>
        <v>2.9589175899395519</v>
      </c>
      <c r="G115" s="13"/>
      <c r="H115" s="31">
        <f>+H111-H113</f>
        <v>-67067.671973861521</v>
      </c>
      <c r="I115" s="13"/>
      <c r="J115" s="34">
        <f>IF(H$12=0,0,H115/H$12)</f>
        <v>-5.3783217300610682</v>
      </c>
      <c r="K115" s="16"/>
      <c r="L115" s="31">
        <f>D115-H115</f>
        <v>86130.971973861466</v>
      </c>
      <c r="M115" s="16"/>
      <c r="N115" s="34">
        <f>IF(H115=0,0,L115/H115)</f>
        <v>-1.2842397751248849</v>
      </c>
      <c r="O115" s="26"/>
      <c r="P115" s="31">
        <f>+P111-P113</f>
        <v>90236.419999999896</v>
      </c>
      <c r="Q115" s="13"/>
      <c r="R115" s="34">
        <f>IF(P$12=0,0,P115/P$12)</f>
        <v>8.3389458341061998E-2</v>
      </c>
      <c r="S115" s="13"/>
      <c r="T115" s="31">
        <f>+T111-T113</f>
        <v>5858.2758937615436</v>
      </c>
      <c r="U115" s="13"/>
      <c r="V115" s="34">
        <f>IF(T$12=0,0,T115/T$12)</f>
        <v>3.307609511420282E-3</v>
      </c>
      <c r="W115" s="16"/>
      <c r="X115" s="31">
        <f>P115-T115</f>
        <v>84378.144106238353</v>
      </c>
      <c r="Y115" s="16"/>
      <c r="Z115" s="34">
        <f>IF(T115=0,0,X115/T115)</f>
        <v>14.403238365078082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5" t="s">
        <v>5</v>
      </c>
      <c r="C118" s="25"/>
      <c r="D118" s="33">
        <f>SUM(D115:D117)</f>
        <v>19063.299999999945</v>
      </c>
      <c r="E118" s="13"/>
      <c r="F118" s="30">
        <f>IF(D$12=0,0,D118/D$12)</f>
        <v>2.9589175899395519</v>
      </c>
      <c r="G118" s="13"/>
      <c r="H118" s="33">
        <f>SUM(H115:H117)</f>
        <v>-67067.671973861521</v>
      </c>
      <c r="I118" s="13"/>
      <c r="J118" s="30">
        <f>IF(H$12=0,0,H118/H$12)</f>
        <v>-5.3783217300610682</v>
      </c>
      <c r="K118" s="16"/>
      <c r="L118" s="33">
        <f>+D118-H118</f>
        <v>86130.971973861466</v>
      </c>
      <c r="M118" s="16"/>
      <c r="N118" s="30">
        <f>IF(H118=0,0,L118/H118)</f>
        <v>-1.2842397751248849</v>
      </c>
      <c r="O118" s="26"/>
      <c r="P118" s="33">
        <f>SUM(P115:P117)</f>
        <v>90236.419999999896</v>
      </c>
      <c r="Q118" s="13"/>
      <c r="R118" s="30">
        <f>IF(P$12=0,0,P118/P$12)</f>
        <v>8.3389458341061998E-2</v>
      </c>
      <c r="S118" s="13"/>
      <c r="T118" s="33">
        <f>SUM(T115:T117)</f>
        <v>5858.2758937615436</v>
      </c>
      <c r="U118" s="13"/>
      <c r="V118" s="30">
        <f>IF(T$12=0,0,T118/T$12)</f>
        <v>3.307609511420282E-3</v>
      </c>
      <c r="W118" s="16"/>
      <c r="X118" s="33">
        <f>+P118-T118</f>
        <v>84378.144106238353</v>
      </c>
      <c r="Y118" s="16"/>
      <c r="Z118" s="30">
        <f>IF(T118=0,0,X118/T118)</f>
        <v>14.403238365078082</v>
      </c>
    </row>
    <row r="119" spans="1:26" ht="15.75" thickTop="1" x14ac:dyDescent="0.25">
      <c r="A119" s="9"/>
      <c r="C119" s="9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5">
        <v>44174.679555636576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57" t="s">
        <v>314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63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2081.4899999999998</v>
      </c>
      <c r="E12" s="4"/>
      <c r="F12" s="12"/>
      <c r="G12" s="4"/>
      <c r="H12" s="4">
        <f>SUM(OSRRefH13x_0)</f>
        <v>1379</v>
      </c>
      <c r="I12" s="4"/>
      <c r="J12" s="12"/>
      <c r="K12" s="4"/>
      <c r="L12" s="4">
        <f t="shared" ref="L12:L16" si="0">+D12-H12</f>
        <v>702.48999999999978</v>
      </c>
      <c r="M12" s="4"/>
      <c r="N12" s="12">
        <f t="shared" ref="N12:N16" si="1">IF(H12=0,0,L12/H12)</f>
        <v>0.50941986947063078</v>
      </c>
      <c r="O12" s="10"/>
      <c r="P12" s="4">
        <f>SUM(OSRRefP13x_0)</f>
        <v>472121.94000000006</v>
      </c>
      <c r="Q12" s="4"/>
      <c r="R12" s="12"/>
      <c r="S12" s="4"/>
      <c r="T12" s="4">
        <f>SUM(OSRRefT13x_0)</f>
        <v>812534</v>
      </c>
      <c r="U12" s="4"/>
      <c r="V12" s="12"/>
      <c r="W12" s="4"/>
      <c r="X12" s="4">
        <f t="shared" ref="X12:X16" si="2">+P12-T12</f>
        <v>-340412.05999999994</v>
      </c>
      <c r="Y12" s="4"/>
      <c r="Z12" s="12">
        <f t="shared" ref="Z12:Z16" si="3">IF(T12=0,0,X12/T12)</f>
        <v>-0.41895115773616848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1379</v>
      </c>
      <c r="I13" s="2"/>
      <c r="J13" s="22"/>
      <c r="K13" s="2"/>
      <c r="L13" s="2">
        <f t="shared" si="0"/>
        <v>-1379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812534</v>
      </c>
      <c r="U13" s="2"/>
      <c r="V13" s="22"/>
      <c r="W13" s="2"/>
      <c r="X13" s="2">
        <f t="shared" si="2"/>
        <v>-812534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--481.05</f>
        <v>481.05</v>
      </c>
      <c r="E14" s="2"/>
      <c r="F14" s="22"/>
      <c r="G14" s="2"/>
      <c r="H14" s="2"/>
      <c r="I14" s="2"/>
      <c r="J14" s="22"/>
      <c r="K14" s="2"/>
      <c r="L14" s="2">
        <f t="shared" si="0"/>
        <v>481.05</v>
      </c>
      <c r="M14" s="2"/>
      <c r="N14" s="22">
        <f t="shared" si="1"/>
        <v>0</v>
      </c>
      <c r="O14" s="11"/>
      <c r="P14" s="2">
        <f>--172710.01</f>
        <v>172710.01</v>
      </c>
      <c r="Q14" s="2"/>
      <c r="R14" s="22"/>
      <c r="S14" s="2"/>
      <c r="T14" s="2"/>
      <c r="U14" s="2"/>
      <c r="V14" s="22"/>
      <c r="W14" s="2"/>
      <c r="X14" s="2">
        <f t="shared" si="2"/>
        <v>172710.01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--266.83</f>
        <v>266.83</v>
      </c>
      <c r="E15" s="2"/>
      <c r="F15" s="22"/>
      <c r="G15" s="2"/>
      <c r="H15" s="2"/>
      <c r="I15" s="2"/>
      <c r="J15" s="22"/>
      <c r="K15" s="2"/>
      <c r="L15" s="2">
        <f t="shared" si="0"/>
        <v>266.83</v>
      </c>
      <c r="M15" s="2"/>
      <c r="N15" s="22">
        <f t="shared" si="1"/>
        <v>0</v>
      </c>
      <c r="O15" s="11"/>
      <c r="P15" s="2">
        <f>--133598.51</f>
        <v>133598.51</v>
      </c>
      <c r="Q15" s="2"/>
      <c r="R15" s="22"/>
      <c r="S15" s="2"/>
      <c r="T15" s="2"/>
      <c r="U15" s="2"/>
      <c r="V15" s="22"/>
      <c r="W15" s="2"/>
      <c r="X15" s="2">
        <f t="shared" si="2"/>
        <v>133598.51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--1333.61</f>
        <v>1333.61</v>
      </c>
      <c r="E16" s="2"/>
      <c r="F16" s="22"/>
      <c r="G16" s="2"/>
      <c r="H16" s="2"/>
      <c r="I16" s="2"/>
      <c r="J16" s="22"/>
      <c r="K16" s="2"/>
      <c r="L16" s="2">
        <f t="shared" si="0"/>
        <v>1333.61</v>
      </c>
      <c r="M16" s="2"/>
      <c r="N16" s="22">
        <f t="shared" si="1"/>
        <v>0</v>
      </c>
      <c r="O16" s="11"/>
      <c r="P16" s="2">
        <f>--165813.42</f>
        <v>165813.42000000001</v>
      </c>
      <c r="Q16" s="2"/>
      <c r="R16" s="22"/>
      <c r="S16" s="2"/>
      <c r="T16" s="2"/>
      <c r="U16" s="2"/>
      <c r="V16" s="22"/>
      <c r="W16" s="2"/>
      <c r="X16" s="2">
        <f t="shared" si="2"/>
        <v>165813.42000000001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375.49</v>
      </c>
      <c r="E18" s="4"/>
      <c r="F18" s="12">
        <f t="shared" ref="F18:F21" si="4">IF(D$12=0,0,D18/D$12)</f>
        <v>0.18039481333083515</v>
      </c>
      <c r="G18" s="4"/>
      <c r="H18" s="4">
        <f>SUM(OSRRefH16x_0)</f>
        <v>999</v>
      </c>
      <c r="I18" s="4"/>
      <c r="J18" s="12">
        <f t="shared" ref="J18:J21" si="5">IF(H$12=0,0,H18/H$12)</f>
        <v>0.72443799854967372</v>
      </c>
      <c r="K18" s="4"/>
      <c r="L18" s="4">
        <f t="shared" ref="L18:L21" si="6">+D18-H18</f>
        <v>-623.51</v>
      </c>
      <c r="M18" s="4"/>
      <c r="N18" s="12">
        <f t="shared" ref="N18:N21" si="7">IF(H18=0,0,L18/H18)</f>
        <v>-0.6241341341341341</v>
      </c>
      <c r="O18" s="10"/>
      <c r="P18" s="4">
        <f>SUM(OSRRefP16x_0)</f>
        <v>344161.82999999996</v>
      </c>
      <c r="Q18" s="4"/>
      <c r="R18" s="12">
        <f t="shared" ref="R18:R21" si="8">IF(P$12=0,0,P18/P$12)</f>
        <v>0.72896809243815253</v>
      </c>
      <c r="S18" s="4"/>
      <c r="T18" s="4">
        <f>SUM(OSRRefT16x_0)</f>
        <v>592573</v>
      </c>
      <c r="U18" s="4"/>
      <c r="V18" s="12">
        <f t="shared" ref="V18:V21" si="9">IF(T$12=0,0,T18/T$12)</f>
        <v>0.72929009739900119</v>
      </c>
      <c r="W18" s="4"/>
      <c r="X18" s="4">
        <f t="shared" ref="X18:X21" si="10">+P18-T18</f>
        <v>-248411.17000000004</v>
      </c>
      <c r="Y18" s="4"/>
      <c r="Z18" s="12">
        <f t="shared" ref="Z18:Z21" si="11">IF(T18=0,0,X18/T18)</f>
        <v>-0.41920770942989311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999</v>
      </c>
      <c r="I19" s="2"/>
      <c r="J19" s="22">
        <f t="shared" si="5"/>
        <v>0.72443799854967372</v>
      </c>
      <c r="K19" s="2"/>
      <c r="L19" s="2">
        <f t="shared" si="6"/>
        <v>-999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592573</v>
      </c>
      <c r="U19" s="2"/>
      <c r="V19" s="22">
        <f t="shared" si="9"/>
        <v>0.72929009739900119</v>
      </c>
      <c r="W19" s="2"/>
      <c r="X19" s="2">
        <f t="shared" si="10"/>
        <v>-592573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-71.819999999999993</v>
      </c>
      <c r="E20" s="2"/>
      <c r="F20" s="22">
        <f t="shared" si="4"/>
        <v>-3.4504129253563554E-2</v>
      </c>
      <c r="G20" s="2"/>
      <c r="H20" s="2"/>
      <c r="I20" s="2"/>
      <c r="J20" s="22">
        <f t="shared" si="5"/>
        <v>0</v>
      </c>
      <c r="K20" s="2"/>
      <c r="L20" s="2">
        <f t="shared" si="6"/>
        <v>-71.819999999999993</v>
      </c>
      <c r="M20" s="2"/>
      <c r="N20" s="22">
        <f t="shared" si="7"/>
        <v>0</v>
      </c>
      <c r="O20" s="11"/>
      <c r="P20" s="2">
        <v>204380.03999999998</v>
      </c>
      <c r="Q20" s="2"/>
      <c r="R20" s="22">
        <f t="shared" si="8"/>
        <v>0.43289672155460507</v>
      </c>
      <c r="S20" s="2"/>
      <c r="T20" s="2"/>
      <c r="U20" s="2"/>
      <c r="V20" s="22">
        <f t="shared" si="9"/>
        <v>0</v>
      </c>
      <c r="W20" s="2"/>
      <c r="X20" s="2">
        <f t="shared" si="10"/>
        <v>204380.03999999998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>
        <v>447.31</v>
      </c>
      <c r="E21" s="2"/>
      <c r="F21" s="22">
        <f t="shared" si="4"/>
        <v>0.21489894258439871</v>
      </c>
      <c r="G21" s="2"/>
      <c r="H21" s="2"/>
      <c r="I21" s="2"/>
      <c r="J21" s="22">
        <f t="shared" si="5"/>
        <v>0</v>
      </c>
      <c r="K21" s="2"/>
      <c r="L21" s="2">
        <f t="shared" si="6"/>
        <v>447.31</v>
      </c>
      <c r="M21" s="2"/>
      <c r="N21" s="22">
        <f t="shared" si="7"/>
        <v>0</v>
      </c>
      <c r="O21" s="11"/>
      <c r="P21" s="2">
        <v>139781.79</v>
      </c>
      <c r="Q21" s="2"/>
      <c r="R21" s="22">
        <f t="shared" si="8"/>
        <v>0.29607137088354757</v>
      </c>
      <c r="S21" s="2"/>
      <c r="T21" s="2"/>
      <c r="U21" s="2"/>
      <c r="V21" s="22">
        <f t="shared" si="9"/>
        <v>0</v>
      </c>
      <c r="W21" s="2"/>
      <c r="X21" s="2">
        <f t="shared" si="10"/>
        <v>139781.79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1705.9999999999998</v>
      </c>
      <c r="E23" s="13"/>
      <c r="F23" s="20">
        <f>IF(D$12=0,0,D23/D$12)</f>
        <v>0.81960518666916482</v>
      </c>
      <c r="G23" s="13"/>
      <c r="H23" s="21">
        <f>H12-H18</f>
        <v>380</v>
      </c>
      <c r="I23" s="13"/>
      <c r="J23" s="20">
        <f>IF(H$12=0,0,H23/H$12)</f>
        <v>0.27556200145032633</v>
      </c>
      <c r="K23" s="16"/>
      <c r="L23" s="21">
        <f>+D23-H23</f>
        <v>1325.9999999999998</v>
      </c>
      <c r="M23" s="16"/>
      <c r="N23" s="20">
        <f>IF(H23=0,0,L23/H23)</f>
        <v>3.4894736842105258</v>
      </c>
      <c r="O23" s="26"/>
      <c r="P23" s="21">
        <f>P12-P18</f>
        <v>127960.1100000001</v>
      </c>
      <c r="Q23" s="13"/>
      <c r="R23" s="20">
        <f>IF(P$12=0,0,P23/P$12)</f>
        <v>0.27103190756184742</v>
      </c>
      <c r="S23" s="13"/>
      <c r="T23" s="21">
        <f>T12-T18</f>
        <v>219961</v>
      </c>
      <c r="U23" s="13"/>
      <c r="V23" s="20">
        <f>IF(T$12=0,0,T23/T$12)</f>
        <v>0.27070990260099886</v>
      </c>
      <c r="W23" s="16"/>
      <c r="X23" s="21">
        <f>+P23-T23</f>
        <v>-92000.889999999898</v>
      </c>
      <c r="Y23" s="16"/>
      <c r="Z23" s="20">
        <f>IF(T23=0,0,X23/T23)</f>
        <v>-0.41826000972899696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0</v>
      </c>
      <c r="E25" s="19"/>
      <c r="F25" s="35">
        <f t="shared" ref="F25:F34" si="12">IF(D$12=0,0,D25/D$12)</f>
        <v>0</v>
      </c>
      <c r="G25" s="19"/>
      <c r="H25" s="19">
        <f>SUM(OSRRefH22x_0)</f>
        <v>0</v>
      </c>
      <c r="I25" s="19"/>
      <c r="J25" s="35">
        <f t="shared" ref="J25:J34" si="13">IF(H$12=0,0,H25/H$12)</f>
        <v>0</v>
      </c>
      <c r="K25" s="4"/>
      <c r="L25" s="19">
        <f t="shared" ref="L25:L34" si="14">+D25-H25</f>
        <v>0</v>
      </c>
      <c r="M25" s="4"/>
      <c r="N25" s="35">
        <f t="shared" ref="N25:N34" si="15">IF(H25=0,0,L25/H25)</f>
        <v>0</v>
      </c>
      <c r="O25" s="10"/>
      <c r="P25" s="19">
        <f>SUM(OSRRefP22x_0)</f>
        <v>0</v>
      </c>
      <c r="Q25" s="19"/>
      <c r="R25" s="35">
        <f t="shared" ref="R25:R34" si="16">IF(P$12=0,0,P25/P$12)</f>
        <v>0</v>
      </c>
      <c r="S25" s="19"/>
      <c r="T25" s="19">
        <f>SUM(OSRRefT22x_0)</f>
        <v>0</v>
      </c>
      <c r="U25" s="19"/>
      <c r="V25" s="35">
        <f t="shared" ref="V25:V34" si="17">IF(T$12=0,0,T25/T$12)</f>
        <v>0</v>
      </c>
      <c r="W25" s="4"/>
      <c r="X25" s="19">
        <f t="shared" ref="X25:X34" si="18">+P25-T25</f>
        <v>0</v>
      </c>
      <c r="Y25" s="4"/>
      <c r="Z25" s="35">
        <f t="shared" ref="Z25:Z34" si="19">IF(T25=0,0,X25/T25)</f>
        <v>0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9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8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8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8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8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8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62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3</v>
      </c>
      <c r="C49" s="25"/>
      <c r="D49" s="21">
        <f>+D23-D25+D47</f>
        <v>1705.9999999999998</v>
      </c>
      <c r="E49" s="13"/>
      <c r="F49" s="20">
        <f>IF(D$12=0,0,D49/D$12)</f>
        <v>0.81960518666916482</v>
      </c>
      <c r="G49" s="13"/>
      <c r="H49" s="21">
        <f>+H23-H25+H47</f>
        <v>380</v>
      </c>
      <c r="I49" s="13"/>
      <c r="J49" s="20">
        <f>IF(H$12=0,0,H49/H$12)</f>
        <v>0.27556200145032633</v>
      </c>
      <c r="K49" s="16"/>
      <c r="L49" s="21">
        <f>+D49-H49</f>
        <v>1325.9999999999998</v>
      </c>
      <c r="M49" s="16"/>
      <c r="N49" s="20">
        <f>IF(H49=0,0,L49/H49)</f>
        <v>3.4894736842105258</v>
      </c>
      <c r="O49" s="26"/>
      <c r="P49" s="21">
        <f>+P23-P25+P47</f>
        <v>127960.1100000001</v>
      </c>
      <c r="Q49" s="13"/>
      <c r="R49" s="20">
        <f>IF(P$12=0,0,P49/P$12)</f>
        <v>0.27103190756184742</v>
      </c>
      <c r="S49" s="13"/>
      <c r="T49" s="21">
        <f>+T23-T25+T47</f>
        <v>219961</v>
      </c>
      <c r="U49" s="13"/>
      <c r="V49" s="20">
        <f>IF(T$12=0,0,T49/T$12)</f>
        <v>0.27070990260099886</v>
      </c>
      <c r="W49" s="16"/>
      <c r="X49" s="21">
        <f>+P49-T49</f>
        <v>-92000.889999999898</v>
      </c>
      <c r="Y49" s="16"/>
      <c r="Z49" s="20">
        <f>IF(T49=0,0,X49/T49)</f>
        <v>-0.41826000972899696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14</v>
      </c>
      <c r="C51" s="10"/>
      <c r="D51" s="4">
        <v>-26807.040000000001</v>
      </c>
      <c r="E51" s="4"/>
      <c r="F51" s="12">
        <f>IF(D$12=0,0,D51/D$12)</f>
        <v>-12.878774339535623</v>
      </c>
      <c r="G51" s="4"/>
      <c r="H51" s="4">
        <v>12114</v>
      </c>
      <c r="I51" s="4"/>
      <c r="J51" s="12">
        <f>IF(H$12=0,0,H51/H$12)</f>
        <v>8.7846265409717184</v>
      </c>
      <c r="K51" s="4"/>
      <c r="L51" s="4">
        <f>+D51-H51</f>
        <v>-38921.040000000001</v>
      </c>
      <c r="M51" s="4"/>
      <c r="N51" s="12">
        <f>IF(H51=0,0,L51/H51)</f>
        <v>-3.2128974739970282</v>
      </c>
      <c r="O51" s="10"/>
      <c r="P51" s="4">
        <v>75013.84</v>
      </c>
      <c r="Q51" s="4"/>
      <c r="R51" s="12">
        <f>IF(P$12=0,0,P51/P$12)</f>
        <v>0.15888657917486315</v>
      </c>
      <c r="S51" s="4"/>
      <c r="T51" s="4">
        <v>144916</v>
      </c>
      <c r="U51" s="4"/>
      <c r="V51" s="12">
        <f>IF(T$12=0,0,T51/T$12)</f>
        <v>0.17835069055571828</v>
      </c>
      <c r="W51" s="4"/>
      <c r="X51" s="4">
        <f>+P51-T51</f>
        <v>-69902.16</v>
      </c>
      <c r="Y51" s="4"/>
      <c r="Z51" s="12">
        <f>IF(T51=0,0,X51/T51)</f>
        <v>-0.4823633001186895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4</v>
      </c>
      <c r="C53" s="25"/>
      <c r="D53" s="31">
        <f>+D49-D51</f>
        <v>28513.040000000001</v>
      </c>
      <c r="E53" s="13"/>
      <c r="F53" s="34">
        <f>IF(D$12=0,0,D53/D$12)</f>
        <v>13.698379526204787</v>
      </c>
      <c r="G53" s="13"/>
      <c r="H53" s="31">
        <f>+H49-H51</f>
        <v>-11734</v>
      </c>
      <c r="I53" s="13"/>
      <c r="J53" s="34">
        <f>IF(H$12=0,0,H53/H$12)</f>
        <v>-8.5090645395213915</v>
      </c>
      <c r="K53" s="16"/>
      <c r="L53" s="31">
        <f>D53-H53</f>
        <v>40247.040000000001</v>
      </c>
      <c r="M53" s="16"/>
      <c r="N53" s="34">
        <f>IF(H53=0,0,L53/H53)</f>
        <v>-3.4299505709902847</v>
      </c>
      <c r="O53" s="26"/>
      <c r="P53" s="31">
        <f>+P49-P51</f>
        <v>52946.270000000106</v>
      </c>
      <c r="Q53" s="13"/>
      <c r="R53" s="34">
        <f>IF(P$12=0,0,P53/P$12)</f>
        <v>0.11214532838698431</v>
      </c>
      <c r="S53" s="13"/>
      <c r="T53" s="31">
        <f>+T49-T51</f>
        <v>75045</v>
      </c>
      <c r="U53" s="13"/>
      <c r="V53" s="34">
        <f>IF(T$12=0,0,T53/T$12)</f>
        <v>9.2359212045280567E-2</v>
      </c>
      <c r="W53" s="16"/>
      <c r="X53" s="31">
        <f>P53-T53</f>
        <v>-22098.729999999894</v>
      </c>
      <c r="Y53" s="16"/>
      <c r="Z53" s="34">
        <f>IF(T53=0,0,X53/T53)</f>
        <v>-0.29447304950362974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5</v>
      </c>
      <c r="C56" s="25"/>
      <c r="D56" s="33">
        <f>SUM(D53:D55)</f>
        <v>28513.040000000001</v>
      </c>
      <c r="E56" s="13"/>
      <c r="F56" s="30">
        <f>IF(D$12=0,0,D56/D$12)</f>
        <v>13.698379526204787</v>
      </c>
      <c r="G56" s="13"/>
      <c r="H56" s="33">
        <f>SUM(H53:H55)</f>
        <v>-11734</v>
      </c>
      <c r="I56" s="13"/>
      <c r="J56" s="30">
        <f>IF(H$12=0,0,H56/H$12)</f>
        <v>-8.5090645395213915</v>
      </c>
      <c r="K56" s="16"/>
      <c r="L56" s="33">
        <f>+D56-H56</f>
        <v>40247.040000000001</v>
      </c>
      <c r="M56" s="16"/>
      <c r="N56" s="30">
        <f>IF(H56=0,0,L56/H56)</f>
        <v>-3.4299505709902847</v>
      </c>
      <c r="O56" s="26"/>
      <c r="P56" s="33">
        <f>SUM(P53:P55)</f>
        <v>52946.270000000106</v>
      </c>
      <c r="Q56" s="13"/>
      <c r="R56" s="30">
        <f>IF(P$12=0,0,P56/P$12)</f>
        <v>0.11214532838698431</v>
      </c>
      <c r="S56" s="13"/>
      <c r="T56" s="33">
        <f>SUM(T53:T55)</f>
        <v>75045</v>
      </c>
      <c r="U56" s="13"/>
      <c r="V56" s="30">
        <f>IF(T$12=0,0,T56/T$12)</f>
        <v>9.2359212045280567E-2</v>
      </c>
      <c r="W56" s="16"/>
      <c r="X56" s="33">
        <f>+P56-T56</f>
        <v>-22098.729999999894</v>
      </c>
      <c r="Y56" s="16"/>
      <c r="Z56" s="30">
        <f>IF(T56=0,0,X56/T56)</f>
        <v>-0.29447304950362974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5">
        <v>44174.679759027778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7" t="s">
        <v>314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3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100850.61000000003</v>
      </c>
      <c r="E12" s="4"/>
      <c r="F12" s="12"/>
      <c r="G12" s="4"/>
      <c r="H12" s="4">
        <f>SUM(OSRRefH13x_0)</f>
        <v>319962</v>
      </c>
      <c r="I12" s="4"/>
      <c r="J12" s="12"/>
      <c r="K12" s="4"/>
      <c r="L12" s="4">
        <f t="shared" ref="L12:L50" si="0">+D12-H12</f>
        <v>-219111.38999999996</v>
      </c>
      <c r="M12" s="4"/>
      <c r="N12" s="12">
        <f t="shared" ref="N12:N50" si="1">IF(H12=0,0,L12/H12)</f>
        <v>-0.68480441427419492</v>
      </c>
      <c r="O12" s="10"/>
      <c r="P12" s="4">
        <f>SUM(OSRRefP13x_0)</f>
        <v>815867.91000000015</v>
      </c>
      <c r="Q12" s="4"/>
      <c r="R12" s="12"/>
      <c r="S12" s="4"/>
      <c r="T12" s="4">
        <f>SUM(OSRRefT13x_0)</f>
        <v>1594890</v>
      </c>
      <c r="U12" s="4"/>
      <c r="V12" s="12"/>
      <c r="W12" s="4"/>
      <c r="X12" s="4">
        <f t="shared" ref="X12:X50" si="2">+P12-T12</f>
        <v>-779022.08999999985</v>
      </c>
      <c r="Y12" s="4"/>
      <c r="Z12" s="12">
        <f t="shared" ref="Z12:Z50" si="3">IF(T12=0,0,X12/T12)</f>
        <v>-0.48844878957169452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-9309.28</f>
        <v>-9309.2800000000007</v>
      </c>
      <c r="E13" s="2"/>
      <c r="F13" s="22"/>
      <c r="G13" s="2"/>
      <c r="H13" s="2">
        <v>319962</v>
      </c>
      <c r="I13" s="2"/>
      <c r="J13" s="22"/>
      <c r="K13" s="2"/>
      <c r="L13" s="2">
        <f t="shared" si="0"/>
        <v>-329271.28000000003</v>
      </c>
      <c r="M13" s="2"/>
      <c r="N13" s="22">
        <f t="shared" si="1"/>
        <v>-1.0290949550259094</v>
      </c>
      <c r="O13" s="11"/>
      <c r="P13" s="2">
        <f>-49293.69</f>
        <v>-49293.69</v>
      </c>
      <c r="Q13" s="2"/>
      <c r="R13" s="22"/>
      <c r="S13" s="2"/>
      <c r="T13" s="2">
        <v>1594890</v>
      </c>
      <c r="U13" s="2"/>
      <c r="V13" s="22"/>
      <c r="W13" s="2"/>
      <c r="X13" s="2">
        <f t="shared" si="2"/>
        <v>-1644183.69</v>
      </c>
      <c r="Y13" s="2"/>
      <c r="Z13" s="22">
        <f t="shared" si="3"/>
        <v>-1.0309072663318473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--18.37</f>
        <v>18.37</v>
      </c>
      <c r="E14" s="2"/>
      <c r="F14" s="22"/>
      <c r="G14" s="2"/>
      <c r="H14" s="2"/>
      <c r="I14" s="2"/>
      <c r="J14" s="22"/>
      <c r="K14" s="2"/>
      <c r="L14" s="2">
        <f t="shared" si="0"/>
        <v>18.37</v>
      </c>
      <c r="M14" s="2"/>
      <c r="N14" s="22">
        <f t="shared" si="1"/>
        <v>0</v>
      </c>
      <c r="O14" s="11"/>
      <c r="P14" s="2">
        <f>--279.69</f>
        <v>279.69</v>
      </c>
      <c r="Q14" s="2"/>
      <c r="R14" s="22"/>
      <c r="S14" s="2"/>
      <c r="T14" s="2"/>
      <c r="U14" s="2"/>
      <c r="V14" s="22"/>
      <c r="W14" s="2"/>
      <c r="X14" s="2">
        <f t="shared" si="2"/>
        <v>279.69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--1716.97</f>
        <v>1716.97</v>
      </c>
      <c r="E15" s="2"/>
      <c r="F15" s="22"/>
      <c r="G15" s="2"/>
      <c r="H15" s="2"/>
      <c r="I15" s="2"/>
      <c r="J15" s="22"/>
      <c r="K15" s="2"/>
      <c r="L15" s="2">
        <f t="shared" si="0"/>
        <v>1716.97</v>
      </c>
      <c r="M15" s="2"/>
      <c r="N15" s="22">
        <f t="shared" si="1"/>
        <v>0</v>
      </c>
      <c r="O15" s="11"/>
      <c r="P15" s="2">
        <f>--28730.15</f>
        <v>28730.15</v>
      </c>
      <c r="Q15" s="2"/>
      <c r="R15" s="22"/>
      <c r="S15" s="2"/>
      <c r="T15" s="2"/>
      <c r="U15" s="2"/>
      <c r="V15" s="22"/>
      <c r="W15" s="2"/>
      <c r="X15" s="2">
        <f t="shared" si="2"/>
        <v>28730.15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--1730.73</f>
        <v>1730.73</v>
      </c>
      <c r="E16" s="2"/>
      <c r="F16" s="22"/>
      <c r="G16" s="2"/>
      <c r="H16" s="2"/>
      <c r="I16" s="2"/>
      <c r="J16" s="22"/>
      <c r="K16" s="2"/>
      <c r="L16" s="2">
        <f t="shared" si="0"/>
        <v>1730.73</v>
      </c>
      <c r="M16" s="2"/>
      <c r="N16" s="22">
        <f t="shared" si="1"/>
        <v>0</v>
      </c>
      <c r="O16" s="11"/>
      <c r="P16" s="2">
        <f>--3520.53</f>
        <v>3520.53</v>
      </c>
      <c r="Q16" s="2"/>
      <c r="R16" s="22"/>
      <c r="S16" s="2"/>
      <c r="T16" s="2"/>
      <c r="U16" s="2"/>
      <c r="V16" s="22"/>
      <c r="W16" s="2"/>
      <c r="X16" s="2">
        <f t="shared" si="2"/>
        <v>3520.53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--194.65</f>
        <v>194.65</v>
      </c>
      <c r="E17" s="2"/>
      <c r="F17" s="22"/>
      <c r="G17" s="2"/>
      <c r="H17" s="2"/>
      <c r="I17" s="2"/>
      <c r="J17" s="22"/>
      <c r="K17" s="2"/>
      <c r="L17" s="2">
        <f t="shared" si="0"/>
        <v>194.65</v>
      </c>
      <c r="M17" s="2"/>
      <c r="N17" s="22">
        <f t="shared" si="1"/>
        <v>0</v>
      </c>
      <c r="O17" s="11"/>
      <c r="P17" s="2">
        <f>--1488.06</f>
        <v>1488.06</v>
      </c>
      <c r="Q17" s="2"/>
      <c r="R17" s="22"/>
      <c r="S17" s="2"/>
      <c r="T17" s="2"/>
      <c r="U17" s="2"/>
      <c r="V17" s="22"/>
      <c r="W17" s="2"/>
      <c r="X17" s="2">
        <f t="shared" si="2"/>
        <v>1488.06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--40927.79</f>
        <v>40927.79</v>
      </c>
      <c r="E19" s="2"/>
      <c r="F19" s="22"/>
      <c r="G19" s="2"/>
      <c r="H19" s="2"/>
      <c r="I19" s="2"/>
      <c r="J19" s="22"/>
      <c r="K19" s="2"/>
      <c r="L19" s="2">
        <f t="shared" si="0"/>
        <v>40927.79</v>
      </c>
      <c r="M19" s="2"/>
      <c r="N19" s="22">
        <f t="shared" si="1"/>
        <v>0</v>
      </c>
      <c r="O19" s="11"/>
      <c r="P19" s="2">
        <f>--423732.7</f>
        <v>423732.7</v>
      </c>
      <c r="Q19" s="2"/>
      <c r="R19" s="22"/>
      <c r="S19" s="2"/>
      <c r="T19" s="2"/>
      <c r="U19" s="2"/>
      <c r="V19" s="22"/>
      <c r="W19" s="2"/>
      <c r="X19" s="2">
        <f t="shared" si="2"/>
        <v>423732.7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--11990.22</f>
        <v>11990.22</v>
      </c>
      <c r="E20" s="2"/>
      <c r="F20" s="22"/>
      <c r="G20" s="2"/>
      <c r="H20" s="2"/>
      <c r="I20" s="2"/>
      <c r="J20" s="22"/>
      <c r="K20" s="2"/>
      <c r="L20" s="2">
        <f t="shared" si="0"/>
        <v>11990.22</v>
      </c>
      <c r="M20" s="2"/>
      <c r="N20" s="22">
        <f t="shared" si="1"/>
        <v>0</v>
      </c>
      <c r="O20" s="11"/>
      <c r="P20" s="2">
        <f>--104708.12</f>
        <v>104708.12</v>
      </c>
      <c r="Q20" s="2"/>
      <c r="R20" s="22"/>
      <c r="S20" s="2"/>
      <c r="T20" s="2"/>
      <c r="U20" s="2"/>
      <c r="V20" s="22"/>
      <c r="W20" s="2"/>
      <c r="X20" s="2">
        <f t="shared" si="2"/>
        <v>104708.12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--1693.2</f>
        <v>1693.2</v>
      </c>
      <c r="E21" s="2"/>
      <c r="F21" s="22"/>
      <c r="G21" s="2"/>
      <c r="H21" s="2"/>
      <c r="I21" s="2"/>
      <c r="J21" s="22"/>
      <c r="K21" s="2"/>
      <c r="L21" s="2">
        <f t="shared" si="0"/>
        <v>1693.2</v>
      </c>
      <c r="M21" s="2"/>
      <c r="N21" s="22">
        <f t="shared" si="1"/>
        <v>0</v>
      </c>
      <c r="O21" s="11"/>
      <c r="P21" s="2">
        <f>--44989.3</f>
        <v>44989.3</v>
      </c>
      <c r="Q21" s="2"/>
      <c r="R21" s="22"/>
      <c r="S21" s="2"/>
      <c r="T21" s="2"/>
      <c r="U21" s="2"/>
      <c r="V21" s="22"/>
      <c r="W21" s="2"/>
      <c r="X21" s="2">
        <f t="shared" si="2"/>
        <v>44989.3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--16932.18</f>
        <v>16932.18</v>
      </c>
      <c r="E22" s="2"/>
      <c r="F22" s="22"/>
      <c r="G22" s="2"/>
      <c r="H22" s="2"/>
      <c r="I22" s="2"/>
      <c r="J22" s="22"/>
      <c r="K22" s="2"/>
      <c r="L22" s="2">
        <f t="shared" si="0"/>
        <v>16932.18</v>
      </c>
      <c r="M22" s="2"/>
      <c r="N22" s="22">
        <f t="shared" si="1"/>
        <v>0</v>
      </c>
      <c r="O22" s="11"/>
      <c r="P22" s="2">
        <f>--57170.24</f>
        <v>57170.239999999998</v>
      </c>
      <c r="Q22" s="2"/>
      <c r="R22" s="22"/>
      <c r="S22" s="2"/>
      <c r="T22" s="2"/>
      <c r="U22" s="2"/>
      <c r="V22" s="22"/>
      <c r="W22" s="2"/>
      <c r="X22" s="2">
        <f t="shared" si="2"/>
        <v>57170.239999999998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--2517.35</f>
        <v>2517.35</v>
      </c>
      <c r="E23" s="2"/>
      <c r="F23" s="22"/>
      <c r="G23" s="2"/>
      <c r="H23" s="2"/>
      <c r="I23" s="2"/>
      <c r="J23" s="22"/>
      <c r="K23" s="2"/>
      <c r="L23" s="2">
        <f t="shared" si="0"/>
        <v>2517.35</v>
      </c>
      <c r="M23" s="2"/>
      <c r="N23" s="22">
        <f t="shared" si="1"/>
        <v>0</v>
      </c>
      <c r="O23" s="11"/>
      <c r="P23" s="2">
        <f>--15006.51</f>
        <v>15006.51</v>
      </c>
      <c r="Q23" s="2"/>
      <c r="R23" s="22"/>
      <c r="S23" s="2"/>
      <c r="T23" s="2"/>
      <c r="U23" s="2"/>
      <c r="V23" s="22"/>
      <c r="W23" s="2"/>
      <c r="X23" s="2">
        <f t="shared" si="2"/>
        <v>15006.51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--11255.56</f>
        <v>11255.56</v>
      </c>
      <c r="E24" s="2"/>
      <c r="F24" s="22"/>
      <c r="G24" s="2"/>
      <c r="H24" s="2"/>
      <c r="I24" s="2"/>
      <c r="J24" s="22"/>
      <c r="K24" s="2"/>
      <c r="L24" s="2">
        <f t="shared" si="0"/>
        <v>11255.56</v>
      </c>
      <c r="M24" s="2"/>
      <c r="N24" s="22">
        <f t="shared" si="1"/>
        <v>0</v>
      </c>
      <c r="O24" s="11"/>
      <c r="P24" s="2">
        <f>--108212.17</f>
        <v>108212.17</v>
      </c>
      <c r="Q24" s="2"/>
      <c r="R24" s="22"/>
      <c r="S24" s="2"/>
      <c r="T24" s="2"/>
      <c r="U24" s="2"/>
      <c r="V24" s="22"/>
      <c r="W24" s="2"/>
      <c r="X24" s="2">
        <f t="shared" si="2"/>
        <v>108212.17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--114.89</f>
        <v>114.89</v>
      </c>
      <c r="E26" s="2"/>
      <c r="F26" s="22"/>
      <c r="G26" s="2"/>
      <c r="H26" s="2"/>
      <c r="I26" s="2"/>
      <c r="J26" s="22"/>
      <c r="K26" s="2"/>
      <c r="L26" s="2">
        <f t="shared" si="0"/>
        <v>114.89</v>
      </c>
      <c r="M26" s="2"/>
      <c r="N26" s="22">
        <f t="shared" si="1"/>
        <v>0</v>
      </c>
      <c r="O26" s="11"/>
      <c r="P26" s="2">
        <f>--2946.58</f>
        <v>2946.58</v>
      </c>
      <c r="Q26" s="2"/>
      <c r="R26" s="22"/>
      <c r="S26" s="2"/>
      <c r="T26" s="2"/>
      <c r="U26" s="2"/>
      <c r="V26" s="22"/>
      <c r="W26" s="2"/>
      <c r="X26" s="2">
        <f t="shared" si="2"/>
        <v>2946.58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--24.78</f>
        <v>24.78</v>
      </c>
      <c r="E27" s="2"/>
      <c r="F27" s="22"/>
      <c r="G27" s="2"/>
      <c r="H27" s="2"/>
      <c r="I27" s="2"/>
      <c r="J27" s="22"/>
      <c r="K27" s="2"/>
      <c r="L27" s="2">
        <f t="shared" si="0"/>
        <v>24.78</v>
      </c>
      <c r="M27" s="2"/>
      <c r="N27" s="22">
        <f t="shared" si="1"/>
        <v>0</v>
      </c>
      <c r="O27" s="11"/>
      <c r="P27" s="2">
        <f>--24.78</f>
        <v>24.78</v>
      </c>
      <c r="Q27" s="2"/>
      <c r="R27" s="22"/>
      <c r="S27" s="2"/>
      <c r="T27" s="2"/>
      <c r="U27" s="2"/>
      <c r="V27" s="22"/>
      <c r="W27" s="2"/>
      <c r="X27" s="2">
        <f t="shared" si="2"/>
        <v>24.78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--983.89</f>
        <v>983.89</v>
      </c>
      <c r="E28" s="2"/>
      <c r="F28" s="22"/>
      <c r="G28" s="2"/>
      <c r="H28" s="2"/>
      <c r="I28" s="2"/>
      <c r="J28" s="22"/>
      <c r="K28" s="2"/>
      <c r="L28" s="2">
        <f t="shared" si="0"/>
        <v>983.89</v>
      </c>
      <c r="M28" s="2"/>
      <c r="N28" s="22">
        <f t="shared" si="1"/>
        <v>0</v>
      </c>
      <c r="O28" s="11"/>
      <c r="P28" s="2">
        <f>--4662.17</f>
        <v>4662.17</v>
      </c>
      <c r="Q28" s="2"/>
      <c r="R28" s="22"/>
      <c r="S28" s="2"/>
      <c r="T28" s="2"/>
      <c r="U28" s="2"/>
      <c r="V28" s="22"/>
      <c r="W28" s="2"/>
      <c r="X28" s="2">
        <f t="shared" si="2"/>
        <v>4662.17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--68.25</f>
        <v>68.25</v>
      </c>
      <c r="Q32" s="2"/>
      <c r="R32" s="22"/>
      <c r="S32" s="2"/>
      <c r="T32" s="2"/>
      <c r="U32" s="2"/>
      <c r="V32" s="22"/>
      <c r="W32" s="2"/>
      <c r="X32" s="2">
        <f t="shared" si="2"/>
        <v>68.25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--19704.79</f>
        <v>19704.79</v>
      </c>
      <c r="E33" s="2"/>
      <c r="F33" s="22"/>
      <c r="G33" s="2"/>
      <c r="H33" s="2"/>
      <c r="I33" s="2"/>
      <c r="J33" s="22"/>
      <c r="K33" s="2"/>
      <c r="L33" s="2">
        <f t="shared" si="0"/>
        <v>19704.79</v>
      </c>
      <c r="M33" s="2"/>
      <c r="N33" s="22">
        <f t="shared" si="1"/>
        <v>0</v>
      </c>
      <c r="O33" s="11"/>
      <c r="P33" s="2">
        <f>--50320.27</f>
        <v>50320.27</v>
      </c>
      <c r="Q33" s="2"/>
      <c r="R33" s="22"/>
      <c r="S33" s="2"/>
      <c r="T33" s="2"/>
      <c r="U33" s="2"/>
      <c r="V33" s="22"/>
      <c r="W33" s="2"/>
      <c r="X33" s="2">
        <f t="shared" si="2"/>
        <v>50320.27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--806.32</f>
        <v>806.32</v>
      </c>
      <c r="E34" s="2"/>
      <c r="F34" s="22"/>
      <c r="G34" s="2"/>
      <c r="H34" s="2"/>
      <c r="I34" s="2"/>
      <c r="J34" s="22"/>
      <c r="K34" s="2"/>
      <c r="L34" s="2">
        <f t="shared" si="0"/>
        <v>806.32</v>
      </c>
      <c r="M34" s="2"/>
      <c r="N34" s="22">
        <f t="shared" si="1"/>
        <v>0</v>
      </c>
      <c r="O34" s="11"/>
      <c r="P34" s="2">
        <f>--3677.52</f>
        <v>3677.52</v>
      </c>
      <c r="Q34" s="2"/>
      <c r="R34" s="22"/>
      <c r="S34" s="2"/>
      <c r="T34" s="2"/>
      <c r="U34" s="2"/>
      <c r="V34" s="22"/>
      <c r="W34" s="2"/>
      <c r="X34" s="2">
        <f t="shared" si="2"/>
        <v>3677.52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--28.17</f>
        <v>28.17</v>
      </c>
      <c r="E35" s="2"/>
      <c r="F35" s="22"/>
      <c r="G35" s="2"/>
      <c r="H35" s="2"/>
      <c r="I35" s="2"/>
      <c r="J35" s="22"/>
      <c r="K35" s="2"/>
      <c r="L35" s="2">
        <f t="shared" si="0"/>
        <v>28.17</v>
      </c>
      <c r="M35" s="2"/>
      <c r="N35" s="22">
        <f t="shared" si="1"/>
        <v>0</v>
      </c>
      <c r="O35" s="11"/>
      <c r="P35" s="2">
        <f>--1097.6</f>
        <v>1097.5999999999999</v>
      </c>
      <c r="Q35" s="2"/>
      <c r="R35" s="22"/>
      <c r="S35" s="2"/>
      <c r="T35" s="2"/>
      <c r="U35" s="2"/>
      <c r="V35" s="22"/>
      <c r="W35" s="2"/>
      <c r="X35" s="2">
        <f t="shared" si="2"/>
        <v>1097.5999999999999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--9.99</f>
        <v>9.99</v>
      </c>
      <c r="E36" s="2"/>
      <c r="F36" s="22"/>
      <c r="G36" s="2"/>
      <c r="H36" s="2"/>
      <c r="I36" s="2"/>
      <c r="J36" s="22"/>
      <c r="K36" s="2"/>
      <c r="L36" s="2">
        <f t="shared" si="0"/>
        <v>9.99</v>
      </c>
      <c r="M36" s="2"/>
      <c r="N36" s="22">
        <f t="shared" si="1"/>
        <v>0</v>
      </c>
      <c r="O36" s="11"/>
      <c r="P36" s="2">
        <f>--39.96</f>
        <v>39.96</v>
      </c>
      <c r="Q36" s="2"/>
      <c r="R36" s="22"/>
      <c r="S36" s="2"/>
      <c r="T36" s="2"/>
      <c r="U36" s="2"/>
      <c r="V36" s="22"/>
      <c r="W36" s="2"/>
      <c r="X36" s="2">
        <f t="shared" si="2"/>
        <v>39.96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--19.95</f>
        <v>19.95</v>
      </c>
      <c r="E37" s="2"/>
      <c r="F37" s="22"/>
      <c r="G37" s="2"/>
      <c r="H37" s="2"/>
      <c r="I37" s="2"/>
      <c r="J37" s="22"/>
      <c r="K37" s="2"/>
      <c r="L37" s="2">
        <f t="shared" si="0"/>
        <v>19.95</v>
      </c>
      <c r="M37" s="2"/>
      <c r="N37" s="22">
        <f t="shared" si="1"/>
        <v>0</v>
      </c>
      <c r="O37" s="11"/>
      <c r="P37" s="2">
        <f>--389.7</f>
        <v>389.7</v>
      </c>
      <c r="Q37" s="2"/>
      <c r="R37" s="22"/>
      <c r="S37" s="2"/>
      <c r="T37" s="2"/>
      <c r="U37" s="2"/>
      <c r="V37" s="22"/>
      <c r="W37" s="2"/>
      <c r="X37" s="2">
        <f t="shared" si="2"/>
        <v>389.7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--2800</f>
        <v>2800</v>
      </c>
      <c r="E38" s="2"/>
      <c r="F38" s="22"/>
      <c r="G38" s="2"/>
      <c r="H38" s="2"/>
      <c r="I38" s="2"/>
      <c r="J38" s="22"/>
      <c r="K38" s="2"/>
      <c r="L38" s="2">
        <f t="shared" si="0"/>
        <v>2800</v>
      </c>
      <c r="M38" s="2"/>
      <c r="N38" s="22">
        <f t="shared" si="1"/>
        <v>0</v>
      </c>
      <c r="O38" s="11"/>
      <c r="P38" s="2">
        <f>--38646</f>
        <v>38646</v>
      </c>
      <c r="Q38" s="2"/>
      <c r="R38" s="22"/>
      <c r="S38" s="2"/>
      <c r="T38" s="2"/>
      <c r="U38" s="2"/>
      <c r="V38" s="22"/>
      <c r="W38" s="2"/>
      <c r="X38" s="2">
        <f t="shared" si="2"/>
        <v>38646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-34.23</f>
        <v>-34.229999999999997</v>
      </c>
      <c r="Q39" s="2"/>
      <c r="R39" s="22"/>
      <c r="S39" s="2"/>
      <c r="T39" s="2"/>
      <c r="U39" s="2"/>
      <c r="V39" s="22"/>
      <c r="W39" s="2"/>
      <c r="X39" s="2">
        <f t="shared" si="2"/>
        <v>-34.229999999999997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-31.98</f>
        <v>-31.98</v>
      </c>
      <c r="E40" s="2"/>
      <c r="F40" s="22"/>
      <c r="G40" s="2"/>
      <c r="H40" s="2"/>
      <c r="I40" s="2"/>
      <c r="J40" s="22"/>
      <c r="K40" s="2"/>
      <c r="L40" s="2">
        <f t="shared" si="0"/>
        <v>-31.98</v>
      </c>
      <c r="M40" s="2"/>
      <c r="N40" s="22">
        <f t="shared" si="1"/>
        <v>0</v>
      </c>
      <c r="O40" s="11"/>
      <c r="P40" s="2">
        <f>-450.67</f>
        <v>-450.67</v>
      </c>
      <c r="Q40" s="2"/>
      <c r="R40" s="22"/>
      <c r="S40" s="2"/>
      <c r="T40" s="2"/>
      <c r="U40" s="2"/>
      <c r="V40" s="22"/>
      <c r="W40" s="2"/>
      <c r="X40" s="2">
        <f t="shared" si="2"/>
        <v>-450.67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-32.49</f>
        <v>-32.49</v>
      </c>
      <c r="E41" s="2"/>
      <c r="F41" s="22"/>
      <c r="G41" s="2"/>
      <c r="H41" s="2"/>
      <c r="I41" s="2"/>
      <c r="J41" s="22"/>
      <c r="K41" s="2"/>
      <c r="L41" s="2">
        <f t="shared" si="0"/>
        <v>-32.49</v>
      </c>
      <c r="M41" s="2"/>
      <c r="N41" s="22">
        <f t="shared" si="1"/>
        <v>0</v>
      </c>
      <c r="O41" s="11"/>
      <c r="P41" s="2">
        <f>-32.49</f>
        <v>-32.49</v>
      </c>
      <c r="Q41" s="2"/>
      <c r="R41" s="22"/>
      <c r="S41" s="2"/>
      <c r="T41" s="2"/>
      <c r="U41" s="2"/>
      <c r="V41" s="22"/>
      <c r="W41" s="2"/>
      <c r="X41" s="2">
        <f t="shared" si="2"/>
        <v>-32.49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-1729.15</f>
        <v>-1729.15</v>
      </c>
      <c r="E42" s="2"/>
      <c r="F42" s="22"/>
      <c r="G42" s="2"/>
      <c r="H42" s="2"/>
      <c r="I42" s="2"/>
      <c r="J42" s="22"/>
      <c r="K42" s="2"/>
      <c r="L42" s="2">
        <f t="shared" si="0"/>
        <v>-1729.15</v>
      </c>
      <c r="M42" s="2"/>
      <c r="N42" s="22">
        <f t="shared" si="1"/>
        <v>0</v>
      </c>
      <c r="O42" s="11"/>
      <c r="P42" s="2">
        <f>-15578.67</f>
        <v>-15578.67</v>
      </c>
      <c r="Q42" s="2"/>
      <c r="R42" s="22"/>
      <c r="S42" s="2"/>
      <c r="T42" s="2"/>
      <c r="U42" s="2"/>
      <c r="V42" s="22"/>
      <c r="W42" s="2"/>
      <c r="X42" s="2">
        <f t="shared" si="2"/>
        <v>-15578.67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-94.79</f>
        <v>-94.79</v>
      </c>
      <c r="E43" s="2"/>
      <c r="F43" s="22"/>
      <c r="G43" s="2"/>
      <c r="H43" s="2"/>
      <c r="I43" s="2"/>
      <c r="J43" s="22"/>
      <c r="K43" s="2"/>
      <c r="L43" s="2">
        <f t="shared" si="0"/>
        <v>-94.79</v>
      </c>
      <c r="M43" s="2"/>
      <c r="N43" s="22">
        <f t="shared" si="1"/>
        <v>0</v>
      </c>
      <c r="O43" s="11"/>
      <c r="P43" s="2">
        <f>-1974.65</f>
        <v>-1974.65</v>
      </c>
      <c r="Q43" s="2"/>
      <c r="R43" s="22"/>
      <c r="S43" s="2"/>
      <c r="T43" s="2"/>
      <c r="U43" s="2"/>
      <c r="V43" s="22"/>
      <c r="W43" s="2"/>
      <c r="X43" s="2">
        <f t="shared" si="2"/>
        <v>-1974.65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-7.48</f>
        <v>-7.48</v>
      </c>
      <c r="E44" s="2"/>
      <c r="F44" s="22"/>
      <c r="G44" s="2"/>
      <c r="H44" s="2"/>
      <c r="I44" s="2"/>
      <c r="J44" s="22"/>
      <c r="K44" s="2"/>
      <c r="L44" s="2">
        <f t="shared" si="0"/>
        <v>-7.48</v>
      </c>
      <c r="M44" s="2"/>
      <c r="N44" s="22">
        <f t="shared" si="1"/>
        <v>0</v>
      </c>
      <c r="O44" s="11"/>
      <c r="P44" s="2">
        <f>-1328.99</f>
        <v>-1328.99</v>
      </c>
      <c r="Q44" s="2"/>
      <c r="R44" s="22"/>
      <c r="S44" s="2"/>
      <c r="T44" s="2"/>
      <c r="U44" s="2"/>
      <c r="V44" s="22"/>
      <c r="W44" s="2"/>
      <c r="X44" s="2">
        <f t="shared" si="2"/>
        <v>-1328.99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-829.54</f>
        <v>-829.54</v>
      </c>
      <c r="E45" s="2"/>
      <c r="F45" s="22"/>
      <c r="G45" s="2"/>
      <c r="H45" s="2"/>
      <c r="I45" s="2"/>
      <c r="J45" s="22"/>
      <c r="K45" s="2"/>
      <c r="L45" s="2">
        <f t="shared" si="0"/>
        <v>-829.54</v>
      </c>
      <c r="M45" s="2"/>
      <c r="N45" s="22">
        <f t="shared" si="1"/>
        <v>0</v>
      </c>
      <c r="O45" s="11"/>
      <c r="P45" s="2">
        <f>-1812.46</f>
        <v>-1812.46</v>
      </c>
      <c r="Q45" s="2"/>
      <c r="R45" s="22"/>
      <c r="S45" s="2"/>
      <c r="T45" s="2"/>
      <c r="U45" s="2"/>
      <c r="V45" s="22"/>
      <c r="W45" s="2"/>
      <c r="X45" s="2">
        <f t="shared" si="2"/>
        <v>-1812.46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-179.95</f>
        <v>-179.95</v>
      </c>
      <c r="E46" s="2"/>
      <c r="F46" s="22"/>
      <c r="G46" s="2"/>
      <c r="H46" s="2"/>
      <c r="I46" s="2"/>
      <c r="J46" s="22"/>
      <c r="K46" s="2"/>
      <c r="L46" s="2">
        <f t="shared" si="0"/>
        <v>-179.95</v>
      </c>
      <c r="M46" s="2"/>
      <c r="N46" s="22">
        <f t="shared" si="1"/>
        <v>0</v>
      </c>
      <c r="O46" s="11"/>
      <c r="P46" s="2">
        <f>-590.94</f>
        <v>-590.94000000000005</v>
      </c>
      <c r="Q46" s="2"/>
      <c r="R46" s="22"/>
      <c r="S46" s="2"/>
      <c r="T46" s="2"/>
      <c r="U46" s="2"/>
      <c r="V46" s="22"/>
      <c r="W46" s="2"/>
      <c r="X46" s="2">
        <f t="shared" si="2"/>
        <v>-590.94000000000005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-45.89</f>
        <v>-45.89</v>
      </c>
      <c r="E47" s="2"/>
      <c r="F47" s="22"/>
      <c r="G47" s="2"/>
      <c r="H47" s="2"/>
      <c r="I47" s="2"/>
      <c r="J47" s="22"/>
      <c r="K47" s="2"/>
      <c r="L47" s="2">
        <f t="shared" si="0"/>
        <v>-45.89</v>
      </c>
      <c r="M47" s="2"/>
      <c r="N47" s="22">
        <f t="shared" si="1"/>
        <v>0</v>
      </c>
      <c r="O47" s="11"/>
      <c r="P47" s="2">
        <f>-1592.82</f>
        <v>-1592.82</v>
      </c>
      <c r="Q47" s="2"/>
      <c r="R47" s="22"/>
      <c r="S47" s="2"/>
      <c r="T47" s="2"/>
      <c r="U47" s="2"/>
      <c r="V47" s="22"/>
      <c r="W47" s="2"/>
      <c r="X47" s="2">
        <f t="shared" si="2"/>
        <v>-1592.82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-203.75</f>
        <v>-203.75</v>
      </c>
      <c r="E48" s="2"/>
      <c r="F48" s="22"/>
      <c r="G48" s="2"/>
      <c r="H48" s="2"/>
      <c r="I48" s="2"/>
      <c r="J48" s="22"/>
      <c r="K48" s="2"/>
      <c r="L48" s="2">
        <f t="shared" si="0"/>
        <v>-203.75</v>
      </c>
      <c r="M48" s="2"/>
      <c r="N48" s="22">
        <f t="shared" si="1"/>
        <v>0</v>
      </c>
      <c r="O48" s="11"/>
      <c r="P48" s="2">
        <f>-940.48</f>
        <v>-940.48</v>
      </c>
      <c r="Q48" s="2"/>
      <c r="R48" s="22"/>
      <c r="S48" s="2"/>
      <c r="T48" s="2"/>
      <c r="U48" s="2"/>
      <c r="V48" s="22"/>
      <c r="W48" s="2"/>
      <c r="X48" s="2">
        <f t="shared" si="2"/>
        <v>-940.48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-154.89</f>
        <v>-154.88999999999999</v>
      </c>
      <c r="E49" s="2"/>
      <c r="F49" s="22"/>
      <c r="G49" s="2"/>
      <c r="H49" s="2"/>
      <c r="I49" s="2"/>
      <c r="J49" s="22"/>
      <c r="K49" s="2"/>
      <c r="L49" s="2">
        <f t="shared" si="0"/>
        <v>-154.88999999999999</v>
      </c>
      <c r="M49" s="2"/>
      <c r="N49" s="22">
        <f t="shared" si="1"/>
        <v>0</v>
      </c>
      <c r="O49" s="11"/>
      <c r="P49" s="2">
        <f>-301.79</f>
        <v>-301.79000000000002</v>
      </c>
      <c r="Q49" s="2"/>
      <c r="R49" s="22"/>
      <c r="S49" s="2"/>
      <c r="T49" s="2"/>
      <c r="U49" s="2"/>
      <c r="V49" s="22"/>
      <c r="W49" s="2"/>
      <c r="X49" s="2">
        <f t="shared" si="2"/>
        <v>-301.79000000000002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54804</v>
      </c>
      <c r="E52" s="4"/>
      <c r="F52" s="12">
        <f t="shared" ref="F52:F74" si="5">IF(D$12=0,0,D52/D$12)</f>
        <v>0.5434176352527762</v>
      </c>
      <c r="G52" s="4"/>
      <c r="H52" s="4">
        <f>SUM(OSRRefH16x_0)</f>
        <v>146814</v>
      </c>
      <c r="I52" s="4"/>
      <c r="J52" s="12">
        <f t="shared" ref="J52:J74" si="6">IF(H$12=0,0,H52/H$12)</f>
        <v>0.45884823822828963</v>
      </c>
      <c r="K52" s="4"/>
      <c r="L52" s="4">
        <f t="shared" ref="L52:L74" si="7">+D52-H52</f>
        <v>-92010</v>
      </c>
      <c r="M52" s="4"/>
      <c r="N52" s="12">
        <f t="shared" ref="N52:N74" si="8">IF(H52=0,0,L52/H52)</f>
        <v>-0.62671134905390491</v>
      </c>
      <c r="O52" s="10"/>
      <c r="P52" s="4">
        <f>SUM(OSRRefP16x_0)</f>
        <v>474333.54000000004</v>
      </c>
      <c r="Q52" s="4"/>
      <c r="R52" s="12">
        <f t="shared" ref="R52:R74" si="9">IF(P$12=0,0,P52/P$12)</f>
        <v>0.58138521467280158</v>
      </c>
      <c r="S52" s="4"/>
      <c r="T52" s="4">
        <f>SUM(OSRRefT16x_0)</f>
        <v>730464</v>
      </c>
      <c r="U52" s="4"/>
      <c r="V52" s="12">
        <f t="shared" ref="V52:V74" si="10">IF(T$12=0,0,T52/T$12)</f>
        <v>0.45800274627090271</v>
      </c>
      <c r="W52" s="4"/>
      <c r="X52" s="4">
        <f t="shared" ref="X52:X74" si="11">+P52-T52</f>
        <v>-256130.45999999996</v>
      </c>
      <c r="Y52" s="4"/>
      <c r="Z52" s="12">
        <f t="shared" ref="Z52:Z74" si="12">IF(T52=0,0,X52/T52)</f>
        <v>-0.35064077079773948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146814</v>
      </c>
      <c r="I53" s="2"/>
      <c r="J53" s="22">
        <f t="shared" si="6"/>
        <v>0.45884823822828963</v>
      </c>
      <c r="K53" s="2"/>
      <c r="L53" s="2">
        <f t="shared" si="7"/>
        <v>-146814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730464</v>
      </c>
      <c r="U53" s="2"/>
      <c r="V53" s="22">
        <f t="shared" si="10"/>
        <v>0.45800274627090271</v>
      </c>
      <c r="W53" s="2"/>
      <c r="X53" s="2">
        <f t="shared" si="11"/>
        <v>-730464</v>
      </c>
      <c r="Y53" s="2"/>
      <c r="Z53" s="22">
        <f t="shared" si="12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7.3454292374362394E-4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1.2256886044212719E-5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2.2277968991328508E-2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-1.0222242960873408E-4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22">
        <f t="shared" si="5"/>
        <v>0</v>
      </c>
      <c r="G58" s="2"/>
      <c r="H58" s="2"/>
      <c r="I58" s="2"/>
      <c r="J58" s="22">
        <f t="shared" si="6"/>
        <v>0</v>
      </c>
      <c r="K58" s="2"/>
      <c r="L58" s="2">
        <f t="shared" si="7"/>
        <v>0</v>
      </c>
      <c r="M58" s="2"/>
      <c r="N58" s="22">
        <f t="shared" si="8"/>
        <v>0</v>
      </c>
      <c r="O58" s="11"/>
      <c r="P58" s="2">
        <v>5605.43</v>
      </c>
      <c r="Q58" s="2"/>
      <c r="R58" s="22">
        <f t="shared" si="9"/>
        <v>6.8705116738811299E-3</v>
      </c>
      <c r="S58" s="2"/>
      <c r="T58" s="2"/>
      <c r="U58" s="2"/>
      <c r="V58" s="22">
        <f t="shared" si="10"/>
        <v>0</v>
      </c>
      <c r="W58" s="2"/>
      <c r="X58" s="2">
        <f t="shared" si="11"/>
        <v>5605.43</v>
      </c>
      <c r="Y58" s="2"/>
      <c r="Z58" s="22">
        <f t="shared" si="12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55124.33</v>
      </c>
      <c r="E59" s="2"/>
      <c r="F59" s="22">
        <f t="shared" si="5"/>
        <v>0.5465939174785357</v>
      </c>
      <c r="G59" s="2"/>
      <c r="H59" s="2"/>
      <c r="I59" s="2"/>
      <c r="J59" s="22">
        <f t="shared" si="6"/>
        <v>0</v>
      </c>
      <c r="K59" s="2"/>
      <c r="L59" s="2">
        <f t="shared" si="7"/>
        <v>55124.33</v>
      </c>
      <c r="M59" s="2"/>
      <c r="N59" s="22">
        <f t="shared" si="8"/>
        <v>0</v>
      </c>
      <c r="O59" s="11"/>
      <c r="P59" s="2">
        <v>94295.28</v>
      </c>
      <c r="Q59" s="2"/>
      <c r="R59" s="22">
        <f t="shared" si="9"/>
        <v>0.11557665014671306</v>
      </c>
      <c r="S59" s="2"/>
      <c r="T59" s="2"/>
      <c r="U59" s="2"/>
      <c r="V59" s="22">
        <f t="shared" si="10"/>
        <v>0</v>
      </c>
      <c r="W59" s="2"/>
      <c r="X59" s="2">
        <f t="shared" si="11"/>
        <v>94295.28</v>
      </c>
      <c r="Y59" s="2"/>
      <c r="Z59" s="22">
        <f t="shared" si="12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9354.43</v>
      </c>
      <c r="E60" s="2"/>
      <c r="F60" s="22">
        <f t="shared" si="5"/>
        <v>9.275531402338566E-2</v>
      </c>
      <c r="G60" s="2"/>
      <c r="H60" s="2"/>
      <c r="I60" s="2"/>
      <c r="J60" s="22">
        <f t="shared" si="6"/>
        <v>0</v>
      </c>
      <c r="K60" s="2"/>
      <c r="L60" s="2">
        <f t="shared" si="7"/>
        <v>9354.43</v>
      </c>
      <c r="M60" s="2"/>
      <c r="N60" s="22">
        <f t="shared" si="8"/>
        <v>0</v>
      </c>
      <c r="O60" s="11"/>
      <c r="P60" s="2">
        <v>26641.769999999997</v>
      </c>
      <c r="Q60" s="2"/>
      <c r="R60" s="22">
        <f t="shared" si="9"/>
        <v>3.2654513890612503E-2</v>
      </c>
      <c r="S60" s="2"/>
      <c r="T60" s="2"/>
      <c r="U60" s="2"/>
      <c r="V60" s="22">
        <f t="shared" si="10"/>
        <v>0</v>
      </c>
      <c r="W60" s="2"/>
      <c r="X60" s="2">
        <f t="shared" si="11"/>
        <v>26641.769999999997</v>
      </c>
      <c r="Y60" s="2"/>
      <c r="Z60" s="22">
        <f t="shared" si="12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/>
      <c r="E61" s="2"/>
      <c r="F61" s="22">
        <f t="shared" si="5"/>
        <v>0</v>
      </c>
      <c r="G61" s="2"/>
      <c r="H61" s="2"/>
      <c r="I61" s="2"/>
      <c r="J61" s="22">
        <f t="shared" si="6"/>
        <v>0</v>
      </c>
      <c r="K61" s="2"/>
      <c r="L61" s="2">
        <f t="shared" si="7"/>
        <v>0</v>
      </c>
      <c r="M61" s="2"/>
      <c r="N61" s="22">
        <f t="shared" si="8"/>
        <v>0</v>
      </c>
      <c r="O61" s="11"/>
      <c r="P61" s="2">
        <v>10912.68</v>
      </c>
      <c r="Q61" s="2"/>
      <c r="R61" s="22">
        <f t="shared" si="9"/>
        <v>1.3375547519695925E-2</v>
      </c>
      <c r="S61" s="2"/>
      <c r="T61" s="2"/>
      <c r="U61" s="2"/>
      <c r="V61" s="22">
        <f t="shared" si="10"/>
        <v>0</v>
      </c>
      <c r="W61" s="2"/>
      <c r="X61" s="2">
        <f t="shared" si="11"/>
        <v>10912.68</v>
      </c>
      <c r="Y61" s="2"/>
      <c r="Z61" s="22">
        <f t="shared" si="12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38530.230000000003</v>
      </c>
      <c r="E62" s="2"/>
      <c r="F62" s="22">
        <f t="shared" si="5"/>
        <v>0.38205252303382192</v>
      </c>
      <c r="G62" s="2"/>
      <c r="H62" s="2"/>
      <c r="I62" s="2"/>
      <c r="J62" s="22">
        <f t="shared" si="6"/>
        <v>0</v>
      </c>
      <c r="K62" s="2"/>
      <c r="L62" s="2">
        <f t="shared" si="7"/>
        <v>38530.230000000003</v>
      </c>
      <c r="M62" s="2"/>
      <c r="N62" s="22">
        <f t="shared" si="8"/>
        <v>0</v>
      </c>
      <c r="O62" s="11"/>
      <c r="P62" s="2">
        <v>44173.23</v>
      </c>
      <c r="Q62" s="2"/>
      <c r="R62" s="22">
        <f t="shared" si="9"/>
        <v>5.4142624631479862E-2</v>
      </c>
      <c r="S62" s="2"/>
      <c r="T62" s="2"/>
      <c r="U62" s="2"/>
      <c r="V62" s="22">
        <f t="shared" si="10"/>
        <v>0</v>
      </c>
      <c r="W62" s="2"/>
      <c r="X62" s="2">
        <f t="shared" si="11"/>
        <v>44173.23</v>
      </c>
      <c r="Y62" s="2"/>
      <c r="Z62" s="22">
        <f t="shared" si="12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>
        <v>282.33</v>
      </c>
      <c r="E63" s="2"/>
      <c r="F63" s="22">
        <f t="shared" si="5"/>
        <v>2.7994872812370686E-3</v>
      </c>
      <c r="G63" s="2"/>
      <c r="H63" s="2"/>
      <c r="I63" s="2"/>
      <c r="J63" s="22">
        <f t="shared" si="6"/>
        <v>0</v>
      </c>
      <c r="K63" s="2"/>
      <c r="L63" s="2">
        <f t="shared" si="7"/>
        <v>282.33</v>
      </c>
      <c r="M63" s="2"/>
      <c r="N63" s="22">
        <f t="shared" si="8"/>
        <v>0</v>
      </c>
      <c r="O63" s="11"/>
      <c r="P63" s="2">
        <v>282.33</v>
      </c>
      <c r="Q63" s="2"/>
      <c r="R63" s="22">
        <f t="shared" si="9"/>
        <v>3.4604866368625765E-4</v>
      </c>
      <c r="S63" s="2"/>
      <c r="T63" s="2"/>
      <c r="U63" s="2"/>
      <c r="V63" s="22">
        <f t="shared" si="10"/>
        <v>0</v>
      </c>
      <c r="W63" s="2"/>
      <c r="X63" s="2">
        <f t="shared" si="11"/>
        <v>282.33</v>
      </c>
      <c r="Y63" s="2"/>
      <c r="Z63" s="22">
        <f t="shared" si="12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5678</v>
      </c>
      <c r="E64" s="2"/>
      <c r="F64" s="22">
        <f t="shared" si="5"/>
        <v>5.6301097236794086E-2</v>
      </c>
      <c r="G64" s="2"/>
      <c r="H64" s="2"/>
      <c r="I64" s="2"/>
      <c r="J64" s="22">
        <f t="shared" si="6"/>
        <v>0</v>
      </c>
      <c r="K64" s="2"/>
      <c r="L64" s="2">
        <f t="shared" si="7"/>
        <v>5678</v>
      </c>
      <c r="M64" s="2"/>
      <c r="N64" s="22">
        <f t="shared" si="8"/>
        <v>0</v>
      </c>
      <c r="O64" s="11"/>
      <c r="P64" s="2">
        <v>76932.51999999999</v>
      </c>
      <c r="Q64" s="2"/>
      <c r="R64" s="22">
        <f t="shared" si="9"/>
        <v>9.4295313073411574E-2</v>
      </c>
      <c r="S64" s="2"/>
      <c r="T64" s="2"/>
      <c r="U64" s="2"/>
      <c r="V64" s="22">
        <f t="shared" si="10"/>
        <v>0</v>
      </c>
      <c r="W64" s="2"/>
      <c r="X64" s="2">
        <f t="shared" si="11"/>
        <v>76932.51999999999</v>
      </c>
      <c r="Y64" s="2"/>
      <c r="Z64" s="22">
        <f t="shared" si="12"/>
        <v>0</v>
      </c>
    </row>
    <row r="65" spans="1:26" s="24" customFormat="1" hidden="1" outlineLevel="1" x14ac:dyDescent="0.2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-116985.24</v>
      </c>
      <c r="E65" s="2"/>
      <c r="F65" s="22">
        <f t="shared" si="5"/>
        <v>-1.1599854477826159</v>
      </c>
      <c r="G65" s="2"/>
      <c r="H65" s="2"/>
      <c r="I65" s="2"/>
      <c r="J65" s="22">
        <f t="shared" si="6"/>
        <v>0</v>
      </c>
      <c r="K65" s="2"/>
      <c r="L65" s="2">
        <f t="shared" si="7"/>
        <v>-116985.24</v>
      </c>
      <c r="M65" s="2"/>
      <c r="N65" s="22">
        <f t="shared" si="8"/>
        <v>0</v>
      </c>
      <c r="O65" s="11"/>
      <c r="P65" s="2">
        <v>-290304.62</v>
      </c>
      <c r="Q65" s="2"/>
      <c r="R65" s="22">
        <f t="shared" si="9"/>
        <v>-0.35582306454484763</v>
      </c>
      <c r="S65" s="2"/>
      <c r="T65" s="2"/>
      <c r="U65" s="2"/>
      <c r="V65" s="22">
        <f t="shared" si="10"/>
        <v>0</v>
      </c>
      <c r="W65" s="2"/>
      <c r="X65" s="2">
        <f t="shared" si="11"/>
        <v>-290304.62</v>
      </c>
      <c r="Y65" s="2"/>
      <c r="Z65" s="22">
        <f t="shared" si="12"/>
        <v>0</v>
      </c>
    </row>
    <row r="66" spans="1:26" s="24" customFormat="1" hidden="1" outlineLevel="1" x14ac:dyDescent="0.25">
      <c r="A66" s="51"/>
      <c r="B66" s="11" t="str">
        <f>CONCATENATE("          ", "5300", " - ", "COG$ OFFSET")</f>
        <v xml:space="preserve">          5300 - COG$ OFFSET</v>
      </c>
      <c r="C66" s="11"/>
      <c r="D66" s="2">
        <v>54804</v>
      </c>
      <c r="E66" s="2"/>
      <c r="F66" s="22">
        <f t="shared" si="5"/>
        <v>0.5434176352527762</v>
      </c>
      <c r="G66" s="2"/>
      <c r="H66" s="2"/>
      <c r="I66" s="2"/>
      <c r="J66" s="22">
        <f t="shared" si="6"/>
        <v>0</v>
      </c>
      <c r="K66" s="2"/>
      <c r="L66" s="2">
        <f t="shared" si="7"/>
        <v>54804</v>
      </c>
      <c r="M66" s="2"/>
      <c r="N66" s="22">
        <f t="shared" si="8"/>
        <v>0</v>
      </c>
      <c r="O66" s="11"/>
      <c r="P66" s="2">
        <v>473417.00000000006</v>
      </c>
      <c r="Q66" s="2"/>
      <c r="R66" s="22">
        <f t="shared" si="9"/>
        <v>0.58026182203930532</v>
      </c>
      <c r="S66" s="2"/>
      <c r="T66" s="2"/>
      <c r="U66" s="2"/>
      <c r="V66" s="22">
        <f t="shared" si="10"/>
        <v>0</v>
      </c>
      <c r="W66" s="2"/>
      <c r="X66" s="2">
        <f t="shared" si="11"/>
        <v>473417.00000000006</v>
      </c>
      <c r="Y66" s="2"/>
      <c r="Z66" s="22">
        <f t="shared" si="12"/>
        <v>0</v>
      </c>
    </row>
    <row r="67" spans="1:26" s="24" customFormat="1" hidden="1" outlineLevel="1" x14ac:dyDescent="0.2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5.9004649416840026E-5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2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22">
        <f t="shared" si="5"/>
        <v>0</v>
      </c>
      <c r="G68" s="2"/>
      <c r="H68" s="2"/>
      <c r="I68" s="2"/>
      <c r="J68" s="22">
        <f t="shared" si="6"/>
        <v>0</v>
      </c>
      <c r="K68" s="2"/>
      <c r="L68" s="2">
        <f t="shared" si="7"/>
        <v>0</v>
      </c>
      <c r="M68" s="2"/>
      <c r="N68" s="22">
        <f t="shared" si="8"/>
        <v>0</v>
      </c>
      <c r="O68" s="11"/>
      <c r="P68" s="2">
        <v>56</v>
      </c>
      <c r="Q68" s="2"/>
      <c r="R68" s="22">
        <f t="shared" si="9"/>
        <v>6.8638561847591227E-5</v>
      </c>
      <c r="S68" s="2"/>
      <c r="T68" s="2"/>
      <c r="U68" s="2"/>
      <c r="V68" s="22">
        <f t="shared" si="10"/>
        <v>0</v>
      </c>
      <c r="W68" s="2"/>
      <c r="X68" s="2">
        <f t="shared" si="11"/>
        <v>56</v>
      </c>
      <c r="Y68" s="2"/>
      <c r="Z68" s="22">
        <f t="shared" si="12"/>
        <v>0</v>
      </c>
    </row>
    <row r="69" spans="1:26" s="24" customFormat="1" hidden="1" outlineLevel="1" x14ac:dyDescent="0.25">
      <c r="A69" s="51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22">
        <f t="shared" si="5"/>
        <v>0</v>
      </c>
      <c r="G69" s="2"/>
      <c r="H69" s="2"/>
      <c r="I69" s="2"/>
      <c r="J69" s="22">
        <f t="shared" si="6"/>
        <v>0</v>
      </c>
      <c r="K69" s="2"/>
      <c r="L69" s="2">
        <f t="shared" si="7"/>
        <v>0</v>
      </c>
      <c r="M69" s="2"/>
      <c r="N69" s="22">
        <f t="shared" si="8"/>
        <v>0</v>
      </c>
      <c r="O69" s="11"/>
      <c r="P69" s="2">
        <v>3.94</v>
      </c>
      <c r="Q69" s="2"/>
      <c r="R69" s="22">
        <f t="shared" si="9"/>
        <v>4.829213101419811E-6</v>
      </c>
      <c r="S69" s="2"/>
      <c r="T69" s="2"/>
      <c r="U69" s="2"/>
      <c r="V69" s="22">
        <f t="shared" si="10"/>
        <v>0</v>
      </c>
      <c r="W69" s="2"/>
      <c r="X69" s="2">
        <f t="shared" si="11"/>
        <v>3.94</v>
      </c>
      <c r="Y69" s="2"/>
      <c r="Z69" s="22">
        <f t="shared" si="12"/>
        <v>0</v>
      </c>
    </row>
    <row r="70" spans="1:26" s="24" customFormat="1" hidden="1" outlineLevel="1" x14ac:dyDescent="0.2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1333.15</v>
      </c>
      <c r="E70" s="2"/>
      <c r="F70" s="22">
        <f t="shared" si="5"/>
        <v>1.3219057376053549E-2</v>
      </c>
      <c r="G70" s="2"/>
      <c r="H70" s="2"/>
      <c r="I70" s="2"/>
      <c r="J70" s="22">
        <f t="shared" si="6"/>
        <v>0</v>
      </c>
      <c r="K70" s="2"/>
      <c r="L70" s="2">
        <f t="shared" si="7"/>
        <v>1333.15</v>
      </c>
      <c r="M70" s="2"/>
      <c r="N70" s="22">
        <f t="shared" si="8"/>
        <v>0</v>
      </c>
      <c r="O70" s="11"/>
      <c r="P70" s="2">
        <v>4535.4799999999996</v>
      </c>
      <c r="Q70" s="2"/>
      <c r="R70" s="22">
        <f t="shared" si="9"/>
        <v>5.5590861515805896E-3</v>
      </c>
      <c r="S70" s="2"/>
      <c r="T70" s="2"/>
      <c r="U70" s="2"/>
      <c r="V70" s="22">
        <f t="shared" si="10"/>
        <v>0</v>
      </c>
      <c r="W70" s="2"/>
      <c r="X70" s="2">
        <f t="shared" si="11"/>
        <v>4535.4799999999996</v>
      </c>
      <c r="Y70" s="2"/>
      <c r="Z70" s="22">
        <f t="shared" si="12"/>
        <v>0</v>
      </c>
    </row>
    <row r="71" spans="1:26" s="24" customFormat="1" hidden="1" outlineLevel="1" x14ac:dyDescent="0.2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301.06</v>
      </c>
      <c r="E71" s="2"/>
      <c r="F71" s="22">
        <f t="shared" si="5"/>
        <v>2.9852075262608714E-3</v>
      </c>
      <c r="G71" s="2"/>
      <c r="H71" s="2"/>
      <c r="I71" s="2"/>
      <c r="J71" s="22">
        <f t="shared" si="6"/>
        <v>0</v>
      </c>
      <c r="K71" s="2"/>
      <c r="L71" s="2">
        <f t="shared" si="7"/>
        <v>301.06</v>
      </c>
      <c r="M71" s="2"/>
      <c r="N71" s="22">
        <f t="shared" si="8"/>
        <v>0</v>
      </c>
      <c r="O71" s="11"/>
      <c r="P71" s="2">
        <v>1435.87</v>
      </c>
      <c r="Q71" s="2"/>
      <c r="R71" s="22">
        <f t="shared" si="9"/>
        <v>1.7599294964303716E-3</v>
      </c>
      <c r="S71" s="2"/>
      <c r="T71" s="2"/>
      <c r="U71" s="2"/>
      <c r="V71" s="22">
        <f t="shared" si="10"/>
        <v>0</v>
      </c>
      <c r="W71" s="2"/>
      <c r="X71" s="2">
        <f t="shared" si="11"/>
        <v>1435.87</v>
      </c>
      <c r="Y71" s="2"/>
      <c r="Z71" s="22">
        <f t="shared" si="12"/>
        <v>0</v>
      </c>
    </row>
    <row r="72" spans="1:26" s="24" customFormat="1" hidden="1" outlineLevel="1" x14ac:dyDescent="0.2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>
        <v>21</v>
      </c>
      <c r="E72" s="2"/>
      <c r="F72" s="22">
        <f t="shared" si="5"/>
        <v>2.0822878513079886E-4</v>
      </c>
      <c r="G72" s="2"/>
      <c r="H72" s="2"/>
      <c r="I72" s="2"/>
      <c r="J72" s="22">
        <f t="shared" si="6"/>
        <v>0</v>
      </c>
      <c r="K72" s="2"/>
      <c r="L72" s="2">
        <f t="shared" si="7"/>
        <v>21</v>
      </c>
      <c r="M72" s="2"/>
      <c r="N72" s="22">
        <f t="shared" si="8"/>
        <v>0</v>
      </c>
      <c r="O72" s="11"/>
      <c r="P72" s="2">
        <v>196.55</v>
      </c>
      <c r="Q72" s="2"/>
      <c r="R72" s="22">
        <f t="shared" si="9"/>
        <v>2.4090909519900101E-4</v>
      </c>
      <c r="S72" s="2"/>
      <c r="T72" s="2"/>
      <c r="U72" s="2"/>
      <c r="V72" s="22">
        <f t="shared" si="10"/>
        <v>0</v>
      </c>
      <c r="W72" s="2"/>
      <c r="X72" s="2">
        <f t="shared" si="11"/>
        <v>196.55</v>
      </c>
      <c r="Y72" s="2"/>
      <c r="Z72" s="22">
        <f t="shared" si="12"/>
        <v>0</v>
      </c>
    </row>
    <row r="73" spans="1:26" s="24" customFormat="1" hidden="1" outlineLevel="1" x14ac:dyDescent="0.2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6323.12</v>
      </c>
      <c r="E73" s="2"/>
      <c r="F73" s="22">
        <f t="shared" si="5"/>
        <v>6.2697885516012228E-2</v>
      </c>
      <c r="G73" s="2"/>
      <c r="H73" s="2"/>
      <c r="I73" s="2"/>
      <c r="J73" s="22">
        <f t="shared" si="6"/>
        <v>0</v>
      </c>
      <c r="K73" s="2"/>
      <c r="L73" s="2">
        <f t="shared" si="7"/>
        <v>6323.12</v>
      </c>
      <c r="M73" s="2"/>
      <c r="N73" s="22">
        <f t="shared" si="8"/>
        <v>0</v>
      </c>
      <c r="O73" s="11"/>
      <c r="P73" s="2">
        <v>6512.31</v>
      </c>
      <c r="Q73" s="2"/>
      <c r="R73" s="22">
        <f t="shared" si="9"/>
        <v>7.9820641554586933E-3</v>
      </c>
      <c r="S73" s="2"/>
      <c r="T73" s="2"/>
      <c r="U73" s="2"/>
      <c r="V73" s="22">
        <f t="shared" si="10"/>
        <v>0</v>
      </c>
      <c r="W73" s="2"/>
      <c r="X73" s="2">
        <f t="shared" si="11"/>
        <v>6512.31</v>
      </c>
      <c r="Y73" s="2"/>
      <c r="Z73" s="22">
        <f t="shared" si="12"/>
        <v>0</v>
      </c>
    </row>
    <row r="74" spans="1:26" s="24" customFormat="1" hidden="1" outlineLevel="1" x14ac:dyDescent="0.2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>
        <v>37.590000000000003</v>
      </c>
      <c r="E74" s="2"/>
      <c r="F74" s="22">
        <f t="shared" si="5"/>
        <v>3.7272952538413E-4</v>
      </c>
      <c r="G74" s="2"/>
      <c r="H74" s="2"/>
      <c r="I74" s="2"/>
      <c r="J74" s="22">
        <f t="shared" si="6"/>
        <v>0</v>
      </c>
      <c r="K74" s="2"/>
      <c r="L74" s="2">
        <f t="shared" si="7"/>
        <v>37.590000000000003</v>
      </c>
      <c r="M74" s="2"/>
      <c r="N74" s="22">
        <f t="shared" si="8"/>
        <v>0</v>
      </c>
      <c r="O74" s="11"/>
      <c r="P74" s="2">
        <v>887.86</v>
      </c>
      <c r="Q74" s="2"/>
      <c r="R74" s="22">
        <f t="shared" si="9"/>
        <v>1.0882398843214704E-3</v>
      </c>
      <c r="S74" s="2"/>
      <c r="T74" s="2"/>
      <c r="U74" s="2"/>
      <c r="V74" s="22">
        <f t="shared" si="10"/>
        <v>0</v>
      </c>
      <c r="W74" s="2"/>
      <c r="X74" s="2">
        <f t="shared" si="11"/>
        <v>887.86</v>
      </c>
      <c r="Y74" s="2"/>
      <c r="Z74" s="22">
        <f t="shared" si="12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6</v>
      </c>
      <c r="C76" s="25"/>
      <c r="D76" s="21">
        <f>D12-D52</f>
        <v>46046.61000000003</v>
      </c>
      <c r="E76" s="13"/>
      <c r="F76" s="20">
        <f>IF(D$12=0,0,D76/D$12)</f>
        <v>0.4565823647472238</v>
      </c>
      <c r="G76" s="13"/>
      <c r="H76" s="21">
        <f>H12-H52</f>
        <v>173148</v>
      </c>
      <c r="I76" s="13"/>
      <c r="J76" s="20">
        <f>IF(H$12=0,0,H76/H$12)</f>
        <v>0.54115176177171043</v>
      </c>
      <c r="K76" s="16"/>
      <c r="L76" s="21">
        <f>+D76-H76</f>
        <v>-127101.38999999997</v>
      </c>
      <c r="M76" s="16"/>
      <c r="N76" s="20">
        <f>IF(H76=0,0,L76/H76)</f>
        <v>-0.73406213181786661</v>
      </c>
      <c r="O76" s="26"/>
      <c r="P76" s="21">
        <f>P12-P52</f>
        <v>341534.37000000011</v>
      </c>
      <c r="Q76" s="13"/>
      <c r="R76" s="20">
        <f>IF(P$12=0,0,P76/P$12)</f>
        <v>0.41861478532719842</v>
      </c>
      <c r="S76" s="13"/>
      <c r="T76" s="21">
        <f>T12-T52</f>
        <v>864426</v>
      </c>
      <c r="U76" s="13"/>
      <c r="V76" s="20">
        <f>IF(T$12=0,0,T76/T$12)</f>
        <v>0.54199725372909735</v>
      </c>
      <c r="W76" s="16"/>
      <c r="X76" s="21">
        <f>+P76-T76</f>
        <v>-522891.62999999989</v>
      </c>
      <c r="Y76" s="16"/>
      <c r="Z76" s="20">
        <f>IF(T76=0,0,X76/T76)</f>
        <v>-0.60490039633236381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9</v>
      </c>
      <c r="C78" s="10"/>
      <c r="D78" s="19">
        <f>SUM(OSRRefD22x_0)</f>
        <v>56326.299999999988</v>
      </c>
      <c r="E78" s="19"/>
      <c r="F78" s="35">
        <f t="shared" ref="F78:F88" si="13">IF(D$12=0,0,D78/D$12)</f>
        <v>0.55851223904347203</v>
      </c>
      <c r="G78" s="19"/>
      <c r="H78" s="19">
        <f>SUM(OSRRefH22x_0)</f>
        <v>118772.82152692306</v>
      </c>
      <c r="I78" s="19"/>
      <c r="J78" s="35">
        <f t="shared" ref="J78:J88" si="14">IF(H$12=0,0,H78/H$12)</f>
        <v>0.37120914835800206</v>
      </c>
      <c r="K78" s="4"/>
      <c r="L78" s="19">
        <f t="shared" ref="L78:L88" si="15">+D78-H78</f>
        <v>-62446.521526923068</v>
      </c>
      <c r="M78" s="4"/>
      <c r="N78" s="35">
        <f t="shared" ref="N78:N88" si="16">IF(H78=0,0,L78/H78)</f>
        <v>-0.52576440236176325</v>
      </c>
      <c r="O78" s="10"/>
      <c r="P78" s="19">
        <f>SUM(OSRRefP22x_0)</f>
        <v>342135.62</v>
      </c>
      <c r="Q78" s="19"/>
      <c r="R78" s="35">
        <f t="shared" ref="R78:R88" si="17">IF(P$12=0,0,P78/P$12)</f>
        <v>0.4193517306006066</v>
      </c>
      <c r="S78" s="19"/>
      <c r="T78" s="19">
        <f>SUM(OSRRefT22x_0)</f>
        <v>626968.38596807688</v>
      </c>
      <c r="U78" s="19"/>
      <c r="V78" s="35">
        <f t="shared" ref="V78:V88" si="18">IF(T$12=0,0,T78/T$12)</f>
        <v>0.39311073865161666</v>
      </c>
      <c r="W78" s="4"/>
      <c r="X78" s="19">
        <f t="shared" ref="X78:X88" si="19">+P78-T78</f>
        <v>-284832.76596807688</v>
      </c>
      <c r="Y78" s="4"/>
      <c r="Z78" s="35">
        <f t="shared" ref="Z78:Z88" si="20">IF(T78=0,0,X78/T78)</f>
        <v>-0.45430163999142953</v>
      </c>
    </row>
    <row r="79" spans="1:26" s="29" customFormat="1" outlineLevel="1" collapsed="1" x14ac:dyDescent="0.2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14931.480000000001</v>
      </c>
      <c r="E79" s="1"/>
      <c r="F79" s="5">
        <f t="shared" si="13"/>
        <v>0.14805542574308669</v>
      </c>
      <c r="G79" s="1"/>
      <c r="H79" s="1">
        <f>SUM(OSRRefH22_0x_0)</f>
        <v>13710.859988461536</v>
      </c>
      <c r="I79" s="1"/>
      <c r="J79" s="5">
        <f t="shared" si="14"/>
        <v>4.2851526082664619E-2</v>
      </c>
      <c r="K79" s="1"/>
      <c r="L79" s="1">
        <f t="shared" si="15"/>
        <v>1220.6200115384654</v>
      </c>
      <c r="M79" s="1"/>
      <c r="N79" s="5">
        <f t="shared" si="16"/>
        <v>8.9025780480997269E-2</v>
      </c>
      <c r="O79" s="14"/>
      <c r="P79" s="1">
        <f>SUM(OSRRefP22_0x_0)</f>
        <v>78372.51999999999</v>
      </c>
      <c r="Q79" s="1"/>
      <c r="R79" s="5">
        <f t="shared" si="17"/>
        <v>9.6060304663778198E-2</v>
      </c>
      <c r="S79" s="1"/>
      <c r="T79" s="1">
        <f>SUM(OSRRefT22_0x_0)</f>
        <v>78111.847506538412</v>
      </c>
      <c r="U79" s="1"/>
      <c r="V79" s="5">
        <f t="shared" si="18"/>
        <v>4.8976322822601191E-2</v>
      </c>
      <c r="W79" s="1"/>
      <c r="X79" s="1">
        <f t="shared" si="19"/>
        <v>260.67249346157769</v>
      </c>
      <c r="Y79" s="1"/>
      <c r="Z79" s="5">
        <f t="shared" si="20"/>
        <v>3.3371697352281662E-3</v>
      </c>
    </row>
    <row r="80" spans="1:26" s="24" customFormat="1" hidden="1" outlineLevel="2" x14ac:dyDescent="0.25">
      <c r="A80" s="28"/>
      <c r="B80" s="11" t="str">
        <f>CONCATENATE("          ", "6111", " - ", "F.I.C.A.")</f>
        <v xml:space="preserve">          6111 - F.I.C.A.</v>
      </c>
      <c r="C80" s="11"/>
      <c r="D80" s="6">
        <v>2310.3200000000002</v>
      </c>
      <c r="E80" s="2"/>
      <c r="F80" s="7">
        <f t="shared" si="13"/>
        <v>2.2908339374447011E-2</v>
      </c>
      <c r="G80" s="2"/>
      <c r="H80" s="6">
        <v>1741.3518461538481</v>
      </c>
      <c r="I80" s="2"/>
      <c r="J80" s="7">
        <f t="shared" si="14"/>
        <v>5.4423708007633655E-3</v>
      </c>
      <c r="K80" s="2"/>
      <c r="L80" s="6">
        <f t="shared" si="15"/>
        <v>568.96815384615206</v>
      </c>
      <c r="M80" s="2"/>
      <c r="N80" s="7">
        <f t="shared" si="16"/>
        <v>0.32673934053180648</v>
      </c>
      <c r="O80" s="11"/>
      <c r="P80" s="6">
        <v>16508.070000000003</v>
      </c>
      <c r="Q80" s="2"/>
      <c r="R80" s="7">
        <f t="shared" si="17"/>
        <v>2.0233753279988668E-2</v>
      </c>
      <c r="S80" s="2"/>
      <c r="T80" s="6">
        <v>15732.857848846155</v>
      </c>
      <c r="U80" s="2"/>
      <c r="V80" s="7">
        <f t="shared" si="18"/>
        <v>9.8645410334544416E-3</v>
      </c>
      <c r="W80" s="2"/>
      <c r="X80" s="6">
        <f t="shared" si="19"/>
        <v>775.21215115384803</v>
      </c>
      <c r="Y80" s="2"/>
      <c r="Z80" s="7">
        <f t="shared" si="20"/>
        <v>4.9273447875886195E-2</v>
      </c>
    </row>
    <row r="81" spans="1:26" s="24" customFormat="1" hidden="1" outlineLevel="2" x14ac:dyDescent="0.25">
      <c r="A81" s="28"/>
      <c r="B81" s="11" t="str">
        <f>CONCATENATE("          ", "6112", " - ", "COMPENSATION INSURANCE")</f>
        <v xml:space="preserve">          6112 - COMPENSATION INSURANCE</v>
      </c>
      <c r="C81" s="11"/>
      <c r="D81" s="6">
        <v>1236.27</v>
      </c>
      <c r="E81" s="2"/>
      <c r="F81" s="7">
        <f t="shared" si="13"/>
        <v>1.2258428580650129E-2</v>
      </c>
      <c r="G81" s="2"/>
      <c r="H81" s="6">
        <v>1167.5969038461519</v>
      </c>
      <c r="I81" s="2"/>
      <c r="J81" s="7">
        <f t="shared" si="14"/>
        <v>3.6491736638918121E-3</v>
      </c>
      <c r="K81" s="2"/>
      <c r="L81" s="6">
        <f t="shared" si="15"/>
        <v>68.673096153848064</v>
      </c>
      <c r="M81" s="2"/>
      <c r="N81" s="7">
        <f t="shared" si="16"/>
        <v>5.8815757328264343E-2</v>
      </c>
      <c r="O81" s="11"/>
      <c r="P81" s="6">
        <v>6238.51</v>
      </c>
      <c r="Q81" s="2"/>
      <c r="R81" s="7">
        <f t="shared" si="17"/>
        <v>7.6464706155681492E-3</v>
      </c>
      <c r="S81" s="2"/>
      <c r="T81" s="6">
        <v>6217.566096153846</v>
      </c>
      <c r="U81" s="2"/>
      <c r="V81" s="7">
        <f t="shared" si="18"/>
        <v>3.8984294190532549E-3</v>
      </c>
      <c r="W81" s="2"/>
      <c r="X81" s="6">
        <f t="shared" si="19"/>
        <v>20.943903846154171</v>
      </c>
      <c r="Y81" s="2"/>
      <c r="Z81" s="7">
        <f t="shared" si="20"/>
        <v>3.3685052192866855E-3</v>
      </c>
    </row>
    <row r="82" spans="1:26" s="24" customFormat="1" hidden="1" outlineLevel="2" x14ac:dyDescent="0.25">
      <c r="A82" s="28"/>
      <c r="B82" s="11" t="str">
        <f>CONCATENATE("          ", "6113", " - ", "GROUP INSURANCE")</f>
        <v xml:space="preserve">          6113 - GROUP INSURANCE</v>
      </c>
      <c r="C82" s="11"/>
      <c r="D82" s="6">
        <v>5541.11</v>
      </c>
      <c r="E82" s="2"/>
      <c r="F82" s="7">
        <f t="shared" si="13"/>
        <v>5.4943743027434322E-2</v>
      </c>
      <c r="G82" s="2"/>
      <c r="H82" s="6">
        <v>5958.8461538461497</v>
      </c>
      <c r="I82" s="2"/>
      <c r="J82" s="7">
        <f t="shared" si="14"/>
        <v>1.8623605783956061E-2</v>
      </c>
      <c r="K82" s="2"/>
      <c r="L82" s="6">
        <f t="shared" si="15"/>
        <v>-417.73615384615005</v>
      </c>
      <c r="M82" s="2"/>
      <c r="N82" s="7">
        <f t="shared" si="16"/>
        <v>-7.0103530626734065E-2</v>
      </c>
      <c r="O82" s="11"/>
      <c r="P82" s="6">
        <v>27839.26</v>
      </c>
      <c r="Q82" s="2"/>
      <c r="R82" s="7">
        <f t="shared" si="17"/>
        <v>3.4122263737520933E-2</v>
      </c>
      <c r="S82" s="2"/>
      <c r="T82" s="6">
        <v>30101.153846153833</v>
      </c>
      <c r="U82" s="2"/>
      <c r="V82" s="7">
        <f t="shared" si="18"/>
        <v>1.8873498389327059E-2</v>
      </c>
      <c r="W82" s="2"/>
      <c r="X82" s="6">
        <f t="shared" si="19"/>
        <v>-2261.8938461538346</v>
      </c>
      <c r="Y82" s="2"/>
      <c r="Z82" s="7">
        <f t="shared" si="20"/>
        <v>-7.5143094437984392E-2</v>
      </c>
    </row>
    <row r="83" spans="1:26" s="24" customFormat="1" hidden="1" outlineLevel="2" x14ac:dyDescent="0.25">
      <c r="A83" s="28"/>
      <c r="B83" s="11" t="str">
        <f>CONCATENATE("          ", "6114", " - ", "STATE UNEMPLOYMENT INSURANCE")</f>
        <v xml:space="preserve">          6114 - STATE UNEMPLOYMENT INSURANCE</v>
      </c>
      <c r="C83" s="11"/>
      <c r="D83" s="6">
        <v>173.75</v>
      </c>
      <c r="E83" s="2"/>
      <c r="F83" s="7">
        <f t="shared" si="13"/>
        <v>1.7228453055464904E-3</v>
      </c>
      <c r="G83" s="2"/>
      <c r="H83" s="6">
        <v>164.09469999999999</v>
      </c>
      <c r="I83" s="2"/>
      <c r="J83" s="7">
        <f t="shared" si="14"/>
        <v>5.1285683924966088E-4</v>
      </c>
      <c r="K83" s="2"/>
      <c r="L83" s="6">
        <f t="shared" si="15"/>
        <v>9.6553000000000111</v>
      </c>
      <c r="M83" s="2"/>
      <c r="N83" s="7">
        <f t="shared" si="16"/>
        <v>5.8839804088736639E-2</v>
      </c>
      <c r="O83" s="11"/>
      <c r="P83" s="6">
        <v>676.65</v>
      </c>
      <c r="Q83" s="2"/>
      <c r="R83" s="7">
        <f t="shared" si="17"/>
        <v>8.2936219418165355E-4</v>
      </c>
      <c r="S83" s="2"/>
      <c r="T83" s="6">
        <v>873.82010000000002</v>
      </c>
      <c r="U83" s="2"/>
      <c r="V83" s="7">
        <f t="shared" si="18"/>
        <v>5.4788737781288996E-4</v>
      </c>
      <c r="W83" s="2"/>
      <c r="X83" s="6">
        <f t="shared" si="19"/>
        <v>-197.17010000000005</v>
      </c>
      <c r="Y83" s="2"/>
      <c r="Z83" s="7">
        <f t="shared" si="20"/>
        <v>-0.22564152506906174</v>
      </c>
    </row>
    <row r="84" spans="1:26" s="24" customFormat="1" hidden="1" outlineLevel="2" x14ac:dyDescent="0.25">
      <c r="A84" s="28"/>
      <c r="B84" s="11" t="str">
        <f>CONCATENATE("          ", "6115", " - ", "P.E.R.S.")</f>
        <v xml:space="preserve">          6115 - P.E.R.S.</v>
      </c>
      <c r="C84" s="11"/>
      <c r="D84" s="6">
        <v>2305.04</v>
      </c>
      <c r="E84" s="2"/>
      <c r="F84" s="7">
        <f t="shared" si="13"/>
        <v>2.2855984708471267E-2</v>
      </c>
      <c r="G84" s="2"/>
      <c r="H84" s="6">
        <v>1342.790769230772</v>
      </c>
      <c r="I84" s="2"/>
      <c r="J84" s="7">
        <f t="shared" si="14"/>
        <v>4.196719514288484E-3</v>
      </c>
      <c r="K84" s="2"/>
      <c r="L84" s="6">
        <f t="shared" si="15"/>
        <v>962.24923076922801</v>
      </c>
      <c r="M84" s="2"/>
      <c r="N84" s="7">
        <f t="shared" si="16"/>
        <v>0.71660399581124612</v>
      </c>
      <c r="O84" s="11"/>
      <c r="P84" s="6">
        <v>9643.2999999999993</v>
      </c>
      <c r="Q84" s="2"/>
      <c r="R84" s="7">
        <f t="shared" si="17"/>
        <v>1.181968291901565E-2</v>
      </c>
      <c r="S84" s="2"/>
      <c r="T84" s="6">
        <v>7385.3492307692304</v>
      </c>
      <c r="U84" s="2"/>
      <c r="V84" s="7">
        <f t="shared" si="18"/>
        <v>4.6306323513027421E-3</v>
      </c>
      <c r="W84" s="2"/>
      <c r="X84" s="6">
        <f t="shared" si="19"/>
        <v>2257.9507692307689</v>
      </c>
      <c r="Y84" s="2"/>
      <c r="Z84" s="7">
        <f t="shared" si="20"/>
        <v>0.30573378437184467</v>
      </c>
    </row>
    <row r="85" spans="1:26" s="24" customFormat="1" hidden="1" outlineLevel="2" x14ac:dyDescent="0.25">
      <c r="A85" s="28"/>
      <c r="B85" s="11" t="str">
        <f>CONCATENATE("          ", "6116", " - ", "EDUCATIONAL BENEFITS")</f>
        <v xml:space="preserve">          6116 - EDUCATIONAL BENEFITS</v>
      </c>
      <c r="C85" s="11"/>
      <c r="D85" s="6"/>
      <c r="E85" s="2"/>
      <c r="F85" s="7">
        <f t="shared" si="13"/>
        <v>0</v>
      </c>
      <c r="G85" s="2"/>
      <c r="H85" s="6">
        <v>0</v>
      </c>
      <c r="I85" s="2"/>
      <c r="J85" s="7">
        <f t="shared" si="14"/>
        <v>0</v>
      </c>
      <c r="K85" s="2"/>
      <c r="L85" s="6">
        <f t="shared" si="15"/>
        <v>0</v>
      </c>
      <c r="M85" s="2"/>
      <c r="N85" s="7">
        <f t="shared" si="16"/>
        <v>0</v>
      </c>
      <c r="O85" s="11"/>
      <c r="P85" s="6"/>
      <c r="Q85" s="2"/>
      <c r="R85" s="7">
        <f t="shared" si="17"/>
        <v>0</v>
      </c>
      <c r="S85" s="2"/>
      <c r="T85" s="6">
        <v>0</v>
      </c>
      <c r="U85" s="2"/>
      <c r="V85" s="7">
        <f t="shared" si="18"/>
        <v>0</v>
      </c>
      <c r="W85" s="2"/>
      <c r="X85" s="6">
        <f t="shared" si="19"/>
        <v>0</v>
      </c>
      <c r="Y85" s="2"/>
      <c r="Z85" s="7">
        <f t="shared" si="20"/>
        <v>0</v>
      </c>
    </row>
    <row r="86" spans="1:26" s="24" customFormat="1" hidden="1" outlineLevel="2" x14ac:dyDescent="0.25">
      <c r="A86" s="28"/>
      <c r="B86" s="11" t="str">
        <f>CONCATENATE("          ", "6118", " - ", "VACATION")</f>
        <v xml:space="preserve">          6118 - VACATION</v>
      </c>
      <c r="C86" s="11"/>
      <c r="D86" s="6">
        <v>1659.26</v>
      </c>
      <c r="E86" s="2"/>
      <c r="F86" s="7">
        <f t="shared" si="13"/>
        <v>1.6452652096006156E-2</v>
      </c>
      <c r="G86" s="2"/>
      <c r="H86" s="6">
        <v>972.69230769230808</v>
      </c>
      <c r="I86" s="2"/>
      <c r="J86" s="7">
        <f t="shared" si="14"/>
        <v>3.0400244644436156E-3</v>
      </c>
      <c r="K86" s="2"/>
      <c r="L86" s="6">
        <f t="shared" si="15"/>
        <v>686.56769230769191</v>
      </c>
      <c r="M86" s="2"/>
      <c r="N86" s="7">
        <f t="shared" si="16"/>
        <v>0.70584262554369248</v>
      </c>
      <c r="O86" s="11"/>
      <c r="P86" s="6">
        <v>8477.42</v>
      </c>
      <c r="Q86" s="2"/>
      <c r="R86" s="7">
        <f t="shared" si="17"/>
        <v>1.0390677088892979E-2</v>
      </c>
      <c r="S86" s="2"/>
      <c r="T86" s="6">
        <v>5349.807692307686</v>
      </c>
      <c r="U86" s="2"/>
      <c r="V86" s="7">
        <f t="shared" si="18"/>
        <v>3.3543427398175962E-3</v>
      </c>
      <c r="W86" s="2"/>
      <c r="X86" s="6">
        <f t="shared" si="19"/>
        <v>3127.6123076923141</v>
      </c>
      <c r="Y86" s="2"/>
      <c r="Z86" s="7">
        <f t="shared" si="20"/>
        <v>0.58462144577447261</v>
      </c>
    </row>
    <row r="87" spans="1:26" s="24" customFormat="1" hidden="1" outlineLevel="2" x14ac:dyDescent="0.25">
      <c r="A87" s="28"/>
      <c r="B87" s="11" t="str">
        <f>CONCATENATE("          ", "6119", " - ", "SICK LEAVE")</f>
        <v xml:space="preserve">          6119 - SICK LEAVE</v>
      </c>
      <c r="C87" s="11"/>
      <c r="D87" s="6">
        <v>1232.0899999999999</v>
      </c>
      <c r="E87" s="2"/>
      <c r="F87" s="7">
        <f t="shared" si="13"/>
        <v>1.2216981136752663E-2</v>
      </c>
      <c r="G87" s="2"/>
      <c r="H87" s="6">
        <v>1488.487307692305</v>
      </c>
      <c r="I87" s="2"/>
      <c r="J87" s="7">
        <f t="shared" si="14"/>
        <v>4.6520752704768218E-3</v>
      </c>
      <c r="K87" s="2"/>
      <c r="L87" s="6">
        <f t="shared" si="15"/>
        <v>-256.39730769230505</v>
      </c>
      <c r="M87" s="2"/>
      <c r="N87" s="7">
        <f t="shared" si="16"/>
        <v>-0.1722536069788958</v>
      </c>
      <c r="O87" s="11"/>
      <c r="P87" s="6">
        <v>6468.23</v>
      </c>
      <c r="Q87" s="2"/>
      <c r="R87" s="7">
        <f t="shared" si="17"/>
        <v>7.9280358017758019E-3</v>
      </c>
      <c r="S87" s="2"/>
      <c r="T87" s="6">
        <v>8076.2926923076766</v>
      </c>
      <c r="U87" s="2"/>
      <c r="V87" s="7">
        <f t="shared" si="18"/>
        <v>5.0638556215837306E-3</v>
      </c>
      <c r="W87" s="2"/>
      <c r="X87" s="6">
        <f t="shared" si="19"/>
        <v>-1608.062692307677</v>
      </c>
      <c r="Y87" s="2"/>
      <c r="Z87" s="7">
        <f t="shared" si="20"/>
        <v>-0.19910901617511806</v>
      </c>
    </row>
    <row r="88" spans="1:26" s="24" customFormat="1" hidden="1" outlineLevel="2" x14ac:dyDescent="0.25">
      <c r="A88" s="28"/>
      <c r="B88" s="11" t="str">
        <f>CONCATENATE("          ", "6156", " - ", "EMPLOYEE MEALS")</f>
        <v xml:space="preserve">          6156 - EMPLOYEE MEALS</v>
      </c>
      <c r="C88" s="11"/>
      <c r="D88" s="6">
        <v>473.64</v>
      </c>
      <c r="E88" s="2"/>
      <c r="F88" s="7">
        <f t="shared" si="13"/>
        <v>4.6964515137786463E-3</v>
      </c>
      <c r="G88" s="2"/>
      <c r="H88" s="6">
        <v>875</v>
      </c>
      <c r="I88" s="2"/>
      <c r="J88" s="7">
        <f t="shared" si="14"/>
        <v>2.7346997455947892E-3</v>
      </c>
      <c r="K88" s="2"/>
      <c r="L88" s="6">
        <f t="shared" si="15"/>
        <v>-401.36</v>
      </c>
      <c r="M88" s="2"/>
      <c r="N88" s="7">
        <f t="shared" si="16"/>
        <v>-0.45869714285714286</v>
      </c>
      <c r="O88" s="11"/>
      <c r="P88" s="6">
        <v>2521.08</v>
      </c>
      <c r="Q88" s="2"/>
      <c r="R88" s="7">
        <f t="shared" si="17"/>
        <v>3.0900590268343798E-3</v>
      </c>
      <c r="S88" s="2"/>
      <c r="T88" s="6">
        <v>4375</v>
      </c>
      <c r="U88" s="2"/>
      <c r="V88" s="7">
        <f t="shared" si="18"/>
        <v>2.7431358902494842E-3</v>
      </c>
      <c r="W88" s="2"/>
      <c r="X88" s="6">
        <f t="shared" si="19"/>
        <v>-1853.92</v>
      </c>
      <c r="Y88" s="2"/>
      <c r="Z88" s="7">
        <f t="shared" si="20"/>
        <v>-0.42375314285714288</v>
      </c>
    </row>
    <row r="89" spans="1:26" s="29" customFormat="1" outlineLevel="1" collapsed="1" x14ac:dyDescent="0.2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31832.15</v>
      </c>
      <c r="E89" s="1"/>
      <c r="F89" s="5">
        <f t="shared" ref="F89:F99" si="21">IF(D$12=0,0,D89/D$12)</f>
        <v>0.31563666298101711</v>
      </c>
      <c r="G89" s="1"/>
      <c r="H89" s="1">
        <f>SUM(OSRRefH22_1x_0)</f>
        <v>61068.961538461517</v>
      </c>
      <c r="I89" s="1"/>
      <c r="J89" s="5">
        <f t="shared" ref="J89:J99" si="22">IF(H$12=0,0,H89/H$12)</f>
        <v>0.19086316980910709</v>
      </c>
      <c r="K89" s="1"/>
      <c r="L89" s="1">
        <f t="shared" ref="L89:L99" si="23">+D89-H89</f>
        <v>-29236.811538461516</v>
      </c>
      <c r="M89" s="1"/>
      <c r="N89" s="5">
        <f t="shared" ref="N89:N99" si="24">IF(H89=0,0,L89/H89)</f>
        <v>-0.47875075655327848</v>
      </c>
      <c r="O89" s="14"/>
      <c r="P89" s="1">
        <f>SUM(OSRRefP22_1x_0)</f>
        <v>183659.49999999997</v>
      </c>
      <c r="Q89" s="1"/>
      <c r="R89" s="5">
        <f t="shared" ref="R89:R99" si="25">IF(P$12=0,0,P89/P$12)</f>
        <v>0.22510935624370854</v>
      </c>
      <c r="S89" s="1"/>
      <c r="T89" s="1">
        <f>SUM(OSRRefT22_1x_0)</f>
        <v>324840.53846153844</v>
      </c>
      <c r="U89" s="1"/>
      <c r="V89" s="5">
        <f t="shared" ref="V89:V99" si="26">IF(T$12=0,0,T89/T$12)</f>
        <v>0.20367582620841465</v>
      </c>
      <c r="W89" s="1"/>
      <c r="X89" s="1">
        <f t="shared" ref="X89:X99" si="27">+P89-T89</f>
        <v>-141181.03846153847</v>
      </c>
      <c r="Y89" s="1"/>
      <c r="Z89" s="5">
        <f t="shared" ref="Z89:Z99" si="28">IF(T89=0,0,X89/T89)</f>
        <v>-0.43461644020841472</v>
      </c>
    </row>
    <row r="90" spans="1:26" s="24" customFormat="1" hidden="1" outlineLevel="2" x14ac:dyDescent="0.25">
      <c r="A90" s="28"/>
      <c r="B90" s="11" t="str">
        <f>CONCATENATE("          ", "6001", " - ", "ADMINISTRATIVE SALARIES")</f>
        <v xml:space="preserve">          6001 - ADMINISTRATIVE SALARIES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/>
      <c r="Q90" s="2"/>
      <c r="R90" s="7">
        <f t="shared" si="25"/>
        <v>0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0</v>
      </c>
      <c r="Y90" s="2"/>
      <c r="Z90" s="7">
        <f t="shared" si="28"/>
        <v>0</v>
      </c>
    </row>
    <row r="91" spans="1:26" s="24" customFormat="1" hidden="1" outlineLevel="2" x14ac:dyDescent="0.25">
      <c r="A91" s="28"/>
      <c r="B91" s="11" t="str">
        <f>CONCATENATE("          ", "6002", " - ", "STAFF SALARIES")</f>
        <v xml:space="preserve">          6002 - STAFF SALARIES</v>
      </c>
      <c r="C91" s="11"/>
      <c r="D91" s="6">
        <v>14465.94</v>
      </c>
      <c r="E91" s="2"/>
      <c r="F91" s="7">
        <f t="shared" si="21"/>
        <v>0.14343929104642991</v>
      </c>
      <c r="G91" s="2"/>
      <c r="H91" s="6">
        <v>14052.461538461519</v>
      </c>
      <c r="I91" s="2"/>
      <c r="J91" s="7">
        <f t="shared" si="22"/>
        <v>4.3919157707670034E-2</v>
      </c>
      <c r="K91" s="2"/>
      <c r="L91" s="6">
        <f t="shared" si="23"/>
        <v>413.4784615384815</v>
      </c>
      <c r="M91" s="2"/>
      <c r="N91" s="7">
        <f t="shared" si="24"/>
        <v>2.9423916970474744E-2</v>
      </c>
      <c r="O91" s="11"/>
      <c r="P91" s="6">
        <v>84753.159999999989</v>
      </c>
      <c r="Q91" s="2"/>
      <c r="R91" s="7">
        <f t="shared" si="25"/>
        <v>0.10388098240069274</v>
      </c>
      <c r="S91" s="2"/>
      <c r="T91" s="6">
        <v>77288.538461538454</v>
      </c>
      <c r="U91" s="2"/>
      <c r="V91" s="7">
        <f t="shared" si="26"/>
        <v>4.846010600200544E-2</v>
      </c>
      <c r="W91" s="2"/>
      <c r="X91" s="6">
        <f t="shared" si="27"/>
        <v>7464.6215384615352</v>
      </c>
      <c r="Y91" s="2"/>
      <c r="Z91" s="7">
        <f t="shared" si="28"/>
        <v>9.6581222611373335E-2</v>
      </c>
    </row>
    <row r="92" spans="1:26" s="24" customFormat="1" hidden="1" outlineLevel="2" x14ac:dyDescent="0.25">
      <c r="A92" s="28"/>
      <c r="B92" s="11" t="str">
        <f>CONCATENATE("          ", "6003", " - ", "STAFF HOURLY-9 MONTH")</f>
        <v xml:space="preserve">          6003 - STAFF HOURLY-9 MONTH</v>
      </c>
      <c r="C92" s="11"/>
      <c r="D92" s="6"/>
      <c r="E92" s="2"/>
      <c r="F92" s="7">
        <f t="shared" si="21"/>
        <v>0</v>
      </c>
      <c r="G92" s="2"/>
      <c r="H92" s="6">
        <v>0</v>
      </c>
      <c r="I92" s="2"/>
      <c r="J92" s="7">
        <f t="shared" si="22"/>
        <v>0</v>
      </c>
      <c r="K92" s="2"/>
      <c r="L92" s="6">
        <f t="shared" si="23"/>
        <v>0</v>
      </c>
      <c r="M92" s="2"/>
      <c r="N92" s="7">
        <f t="shared" si="24"/>
        <v>0</v>
      </c>
      <c r="O92" s="11"/>
      <c r="P92" s="6"/>
      <c r="Q92" s="2"/>
      <c r="R92" s="7">
        <f t="shared" si="25"/>
        <v>0</v>
      </c>
      <c r="S92" s="2"/>
      <c r="T92" s="6">
        <v>0</v>
      </c>
      <c r="U92" s="2"/>
      <c r="V92" s="7">
        <f t="shared" si="26"/>
        <v>0</v>
      </c>
      <c r="W92" s="2"/>
      <c r="X92" s="6">
        <f t="shared" si="27"/>
        <v>0</v>
      </c>
      <c r="Y92" s="2"/>
      <c r="Z92" s="7">
        <f t="shared" si="28"/>
        <v>0</v>
      </c>
    </row>
    <row r="93" spans="1:26" s="24" customFormat="1" hidden="1" outlineLevel="2" x14ac:dyDescent="0.25">
      <c r="A93" s="28"/>
      <c r="B93" s="11" t="str">
        <f>CONCATENATE("          ", "6004", " - ", "STAFF HOURLY")</f>
        <v xml:space="preserve">          6004 - STAFF HOURLY</v>
      </c>
      <c r="C93" s="11"/>
      <c r="D93" s="6">
        <v>5238.05</v>
      </c>
      <c r="E93" s="2"/>
      <c r="F93" s="7">
        <f t="shared" si="21"/>
        <v>5.1938704188303854E-2</v>
      </c>
      <c r="G93" s="2"/>
      <c r="H93" s="6">
        <v>6657</v>
      </c>
      <c r="I93" s="2"/>
      <c r="J93" s="7">
        <f t="shared" si="22"/>
        <v>2.0805595664485158E-2</v>
      </c>
      <c r="K93" s="2"/>
      <c r="L93" s="6">
        <f t="shared" si="23"/>
        <v>-1418.9499999999998</v>
      </c>
      <c r="M93" s="2"/>
      <c r="N93" s="7">
        <f t="shared" si="24"/>
        <v>-0.21315156977617541</v>
      </c>
      <c r="O93" s="11"/>
      <c r="P93" s="6">
        <v>38037.5</v>
      </c>
      <c r="Q93" s="2"/>
      <c r="R93" s="7">
        <f t="shared" si="25"/>
        <v>4.6622130290674128E-2</v>
      </c>
      <c r="S93" s="2"/>
      <c r="T93" s="6">
        <v>36613.5</v>
      </c>
      <c r="U93" s="2"/>
      <c r="V93" s="7">
        <f t="shared" si="26"/>
        <v>2.2956755638319885E-2</v>
      </c>
      <c r="W93" s="2"/>
      <c r="X93" s="6">
        <f t="shared" si="27"/>
        <v>1424</v>
      </c>
      <c r="Y93" s="2"/>
      <c r="Z93" s="7">
        <f t="shared" si="28"/>
        <v>3.8892758135660344E-2</v>
      </c>
    </row>
    <row r="94" spans="1:26" s="24" customFormat="1" hidden="1" outlineLevel="2" x14ac:dyDescent="0.25">
      <c r="A94" s="28"/>
      <c r="B94" s="11" t="str">
        <f>CONCATENATE("          ", "6005", " - ", "TEMPORARY WAGES-HOURLY")</f>
        <v xml:space="preserve">          6005 - TEMPORARY WAGES-HOURLY</v>
      </c>
      <c r="C94" s="11"/>
      <c r="D94" s="6">
        <v>5186.8599999999997</v>
      </c>
      <c r="E94" s="2"/>
      <c r="F94" s="7">
        <f t="shared" si="21"/>
        <v>5.143112173540644E-2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5186.8599999999997</v>
      </c>
      <c r="M94" s="2"/>
      <c r="N94" s="7">
        <f t="shared" si="24"/>
        <v>0</v>
      </c>
      <c r="O94" s="11"/>
      <c r="P94" s="6">
        <v>25886.94</v>
      </c>
      <c r="Q94" s="2"/>
      <c r="R94" s="7">
        <f t="shared" si="25"/>
        <v>3.1729327361337198E-2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25886.94</v>
      </c>
      <c r="Y94" s="2"/>
      <c r="Z94" s="7">
        <f t="shared" si="28"/>
        <v>0</v>
      </c>
    </row>
    <row r="95" spans="1:26" s="24" customFormat="1" hidden="1" outlineLevel="2" x14ac:dyDescent="0.25">
      <c r="A95" s="28"/>
      <c r="B95" s="11" t="str">
        <f>CONCATENATE("          ", "6006", " - ", "TEMPORARY PART TIME")</f>
        <v xml:space="preserve">          6006 - TEMPORARY PART TIME</v>
      </c>
      <c r="C95" s="11"/>
      <c r="D95" s="6"/>
      <c r="E95" s="2"/>
      <c r="F95" s="7">
        <f t="shared" si="21"/>
        <v>0</v>
      </c>
      <c r="G95" s="2"/>
      <c r="H95" s="6">
        <v>0</v>
      </c>
      <c r="I95" s="2"/>
      <c r="J95" s="7">
        <f t="shared" si="22"/>
        <v>0</v>
      </c>
      <c r="K95" s="2"/>
      <c r="L95" s="6">
        <f t="shared" si="23"/>
        <v>0</v>
      </c>
      <c r="M95" s="2"/>
      <c r="N95" s="7">
        <f t="shared" si="24"/>
        <v>0</v>
      </c>
      <c r="O95" s="11"/>
      <c r="P95" s="6"/>
      <c r="Q95" s="2"/>
      <c r="R95" s="7">
        <f t="shared" si="25"/>
        <v>0</v>
      </c>
      <c r="S95" s="2"/>
      <c r="T95" s="6">
        <v>0</v>
      </c>
      <c r="U95" s="2"/>
      <c r="V95" s="7">
        <f t="shared" si="26"/>
        <v>0</v>
      </c>
      <c r="W95" s="2"/>
      <c r="X95" s="6">
        <f t="shared" si="27"/>
        <v>0</v>
      </c>
      <c r="Y95" s="2"/>
      <c r="Z95" s="7">
        <f t="shared" si="28"/>
        <v>0</v>
      </c>
    </row>
    <row r="96" spans="1:26" s="24" customFormat="1" hidden="1" outlineLevel="2" x14ac:dyDescent="0.25">
      <c r="A96" s="28"/>
      <c r="B96" s="11" t="str">
        <f>CONCATENATE("          ", "6007", " - ", "STUDENT HOURLY")</f>
        <v xml:space="preserve">          6007 - STUDENT HOURLY</v>
      </c>
      <c r="C96" s="11"/>
      <c r="D96" s="6">
        <v>6058.73</v>
      </c>
      <c r="E96" s="2"/>
      <c r="F96" s="7">
        <f t="shared" si="21"/>
        <v>6.0076285111215467E-2</v>
      </c>
      <c r="G96" s="2"/>
      <c r="H96" s="6">
        <v>0</v>
      </c>
      <c r="I96" s="2"/>
      <c r="J96" s="7">
        <f t="shared" si="22"/>
        <v>0</v>
      </c>
      <c r="K96" s="2"/>
      <c r="L96" s="6">
        <f t="shared" si="23"/>
        <v>6058.73</v>
      </c>
      <c r="M96" s="2"/>
      <c r="N96" s="7">
        <f t="shared" si="24"/>
        <v>0</v>
      </c>
      <c r="O96" s="11"/>
      <c r="P96" s="6">
        <v>31134.609999999997</v>
      </c>
      <c r="Q96" s="2"/>
      <c r="R96" s="7">
        <f t="shared" si="25"/>
        <v>3.816133668010057E-2</v>
      </c>
      <c r="S96" s="2"/>
      <c r="T96" s="6">
        <v>80431.5</v>
      </c>
      <c r="U96" s="2"/>
      <c r="V96" s="7">
        <f t="shared" si="26"/>
        <v>5.0430750710080317E-2</v>
      </c>
      <c r="W96" s="2"/>
      <c r="X96" s="6">
        <f t="shared" si="27"/>
        <v>-49296.89</v>
      </c>
      <c r="Y96" s="2"/>
      <c r="Z96" s="7">
        <f t="shared" si="28"/>
        <v>-0.6129052672149593</v>
      </c>
    </row>
    <row r="97" spans="1:26" s="24" customFormat="1" hidden="1" outlineLevel="2" x14ac:dyDescent="0.25">
      <c r="A97" s="28"/>
      <c r="B97" s="11" t="str">
        <f>CONCATENATE("          ", "6008", " - ", "STUDENT HOURLY-FICA EXEMPT")</f>
        <v xml:space="preserve">          6008 - STUDENT HOURLY-FICA EXEMPT</v>
      </c>
      <c r="C97" s="11"/>
      <c r="D97" s="6">
        <v>882.57</v>
      </c>
      <c r="E97" s="2"/>
      <c r="F97" s="7">
        <f t="shared" si="21"/>
        <v>8.7512608996613873E-3</v>
      </c>
      <c r="G97" s="2"/>
      <c r="H97" s="6">
        <v>40359.5</v>
      </c>
      <c r="I97" s="2"/>
      <c r="J97" s="7">
        <f t="shared" si="22"/>
        <v>0.12613841643695189</v>
      </c>
      <c r="K97" s="2"/>
      <c r="L97" s="6">
        <f t="shared" si="23"/>
        <v>-39476.93</v>
      </c>
      <c r="M97" s="2"/>
      <c r="N97" s="7">
        <f t="shared" si="24"/>
        <v>-0.97813228607886615</v>
      </c>
      <c r="O97" s="11"/>
      <c r="P97" s="6">
        <v>3847.29</v>
      </c>
      <c r="Q97" s="2"/>
      <c r="R97" s="7">
        <f t="shared" si="25"/>
        <v>4.7155795109039148E-3</v>
      </c>
      <c r="S97" s="2"/>
      <c r="T97" s="6">
        <v>130507</v>
      </c>
      <c r="U97" s="2"/>
      <c r="V97" s="7">
        <f t="shared" si="26"/>
        <v>8.1828213858009022E-2</v>
      </c>
      <c r="W97" s="2"/>
      <c r="X97" s="6">
        <f t="shared" si="27"/>
        <v>-126659.71</v>
      </c>
      <c r="Y97" s="2"/>
      <c r="Z97" s="7">
        <f t="shared" si="28"/>
        <v>-0.97052043185423009</v>
      </c>
    </row>
    <row r="98" spans="1:26" s="24" customFormat="1" hidden="1" outlineLevel="2" x14ac:dyDescent="0.25">
      <c r="A98" s="28"/>
      <c r="B98" s="11" t="str">
        <f>CONCATENATE("          ", "6009", " - ", "TEMPORARY-SEASONAL")</f>
        <v xml:space="preserve">          6009 - TEMPORARY-SEASONAL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4" customFormat="1" hidden="1" outlineLevel="2" x14ac:dyDescent="0.25">
      <c r="A99" s="28"/>
      <c r="B99" s="11" t="str">
        <f>CONCATENATE("          ", "6010", " - ", "GRATUITY")</f>
        <v xml:space="preserve">          6010 - GRATUITY</v>
      </c>
      <c r="C99" s="11"/>
      <c r="D99" s="6"/>
      <c r="E99" s="2"/>
      <c r="F99" s="7">
        <f t="shared" si="21"/>
        <v>0</v>
      </c>
      <c r="G99" s="2"/>
      <c r="H99" s="6">
        <v>0</v>
      </c>
      <c r="I99" s="2"/>
      <c r="J99" s="7">
        <f t="shared" si="22"/>
        <v>0</v>
      </c>
      <c r="K99" s="2"/>
      <c r="L99" s="6">
        <f t="shared" si="23"/>
        <v>0</v>
      </c>
      <c r="M99" s="2"/>
      <c r="N99" s="7">
        <f t="shared" si="24"/>
        <v>0</v>
      </c>
      <c r="O99" s="11"/>
      <c r="P99" s="6"/>
      <c r="Q99" s="2"/>
      <c r="R99" s="7">
        <f t="shared" si="25"/>
        <v>0</v>
      </c>
      <c r="S99" s="2"/>
      <c r="T99" s="6">
        <v>0</v>
      </c>
      <c r="U99" s="2"/>
      <c r="V99" s="7">
        <f t="shared" si="26"/>
        <v>0</v>
      </c>
      <c r="W99" s="2"/>
      <c r="X99" s="6">
        <f t="shared" si="27"/>
        <v>0</v>
      </c>
      <c r="Y99" s="2"/>
      <c r="Z99" s="7">
        <f t="shared" si="28"/>
        <v>0</v>
      </c>
    </row>
    <row r="100" spans="1:26" s="29" customFormat="1" outlineLevel="1" collapsed="1" x14ac:dyDescent="0.2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548.78</v>
      </c>
      <c r="E100" s="1"/>
      <c r="F100" s="5">
        <f t="shared" ref="F100:F114" si="29">IF(D$12=0,0,D100/D$12)</f>
        <v>5.441513938289514E-3</v>
      </c>
      <c r="G100" s="1"/>
      <c r="H100" s="1">
        <f>SUM(OSRRefH22_2x_0)</f>
        <v>630</v>
      </c>
      <c r="I100" s="1"/>
      <c r="J100" s="5">
        <f t="shared" ref="J100:J114" si="30">IF(H$12=0,0,H100/H$12)</f>
        <v>1.9689838168282484E-3</v>
      </c>
      <c r="K100" s="1"/>
      <c r="L100" s="1">
        <f t="shared" ref="L100:L114" si="31">+D100-H100</f>
        <v>-81.220000000000027</v>
      </c>
      <c r="M100" s="1"/>
      <c r="N100" s="5">
        <f t="shared" ref="N100:N114" si="32">IF(H100=0,0,L100/H100)</f>
        <v>-0.12892063492063496</v>
      </c>
      <c r="O100" s="14"/>
      <c r="P100" s="1">
        <f>SUM(OSRRefP22_2x_0)</f>
        <v>12773.93</v>
      </c>
      <c r="Q100" s="1"/>
      <c r="R100" s="5">
        <f t="shared" ref="R100:R114" si="33">IF(P$12=0,0,P100/P$12)</f>
        <v>1.5656860434675016E-2</v>
      </c>
      <c r="S100" s="1"/>
      <c r="T100" s="1">
        <f>SUM(OSRRefT22_2x_0)</f>
        <v>3650</v>
      </c>
      <c r="U100" s="1"/>
      <c r="V100" s="5">
        <f t="shared" ref="V100:V114" si="34">IF(T$12=0,0,T100/T$12)</f>
        <v>2.2885590855795698E-3</v>
      </c>
      <c r="W100" s="1"/>
      <c r="X100" s="1">
        <f t="shared" ref="X100:X114" si="35">+P100-T100</f>
        <v>9123.93</v>
      </c>
      <c r="Y100" s="1"/>
      <c r="Z100" s="5">
        <f t="shared" ref="Z100:Z114" si="36">IF(T100=0,0,X100/T100)</f>
        <v>2.4997068493150687</v>
      </c>
    </row>
    <row r="101" spans="1:26" s="24" customFormat="1" hidden="1" outlineLevel="2" x14ac:dyDescent="0.25">
      <c r="A101" s="28"/>
      <c r="B101" s="11" t="str">
        <f>CONCATENATE("          ", "6362", " - ", "ADVERTISING EXPENSE")</f>
        <v xml:space="preserve">          6362 - ADVERTISING EXPENSE</v>
      </c>
      <c r="C101" s="11"/>
      <c r="D101" s="6">
        <v>548.78</v>
      </c>
      <c r="E101" s="2"/>
      <c r="F101" s="7">
        <f t="shared" si="29"/>
        <v>5.441513938289514E-3</v>
      </c>
      <c r="G101" s="2"/>
      <c r="H101" s="6">
        <v>630</v>
      </c>
      <c r="I101" s="2"/>
      <c r="J101" s="7">
        <f t="shared" si="30"/>
        <v>1.9689838168282484E-3</v>
      </c>
      <c r="K101" s="2"/>
      <c r="L101" s="6">
        <f t="shared" si="31"/>
        <v>-81.220000000000027</v>
      </c>
      <c r="M101" s="2"/>
      <c r="N101" s="7">
        <f t="shared" si="32"/>
        <v>-0.12892063492063496</v>
      </c>
      <c r="O101" s="11"/>
      <c r="P101" s="6">
        <v>12773.93</v>
      </c>
      <c r="Q101" s="2"/>
      <c r="R101" s="7">
        <f t="shared" si="33"/>
        <v>1.5656860434675016E-2</v>
      </c>
      <c r="S101" s="2"/>
      <c r="T101" s="6">
        <v>3650</v>
      </c>
      <c r="U101" s="2"/>
      <c r="V101" s="7">
        <f t="shared" si="34"/>
        <v>2.2885590855795698E-3</v>
      </c>
      <c r="W101" s="2"/>
      <c r="X101" s="6">
        <f t="shared" si="35"/>
        <v>9123.93</v>
      </c>
      <c r="Y101" s="2"/>
      <c r="Z101" s="7">
        <f t="shared" si="36"/>
        <v>2.4997068493150687</v>
      </c>
    </row>
    <row r="102" spans="1:26" s="29" customFormat="1" outlineLevel="1" collapsed="1" x14ac:dyDescent="0.2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-0.48</v>
      </c>
      <c r="E102" s="1"/>
      <c r="F102" s="5">
        <f t="shared" si="29"/>
        <v>-4.7595150887039738E-6</v>
      </c>
      <c r="G102" s="1"/>
      <c r="H102" s="1">
        <f>SUM(OSRRefH22_3x_0)</f>
        <v>10</v>
      </c>
      <c r="I102" s="1"/>
      <c r="J102" s="5">
        <f t="shared" si="30"/>
        <v>3.1253711378226163E-5</v>
      </c>
      <c r="K102" s="1"/>
      <c r="L102" s="1">
        <f t="shared" si="31"/>
        <v>-10.48</v>
      </c>
      <c r="M102" s="1"/>
      <c r="N102" s="5">
        <f t="shared" si="32"/>
        <v>-1.048</v>
      </c>
      <c r="O102" s="14"/>
      <c r="P102" s="1">
        <f>SUM(OSRRefP22_3x_0)</f>
        <v>-1.01</v>
      </c>
      <c r="Q102" s="1"/>
      <c r="R102" s="5">
        <f t="shared" si="33"/>
        <v>-1.2379454904654845E-6</v>
      </c>
      <c r="S102" s="1"/>
      <c r="T102" s="1">
        <f>SUM(OSRRefT22_3x_0)</f>
        <v>50</v>
      </c>
      <c r="U102" s="1"/>
      <c r="V102" s="5">
        <f t="shared" si="34"/>
        <v>3.1350124459994106E-5</v>
      </c>
      <c r="W102" s="1"/>
      <c r="X102" s="1">
        <f t="shared" si="35"/>
        <v>-51.01</v>
      </c>
      <c r="Y102" s="1"/>
      <c r="Z102" s="5">
        <f t="shared" si="36"/>
        <v>-1.0202</v>
      </c>
    </row>
    <row r="103" spans="1:26" s="24" customFormat="1" hidden="1" outlineLevel="2" x14ac:dyDescent="0.25">
      <c r="A103" s="28"/>
      <c r="B103" s="11" t="str">
        <f>CONCATENATE("          ", "6272", " - ", "CASH (OVER/SHORT)")</f>
        <v xml:space="preserve">          6272 - CASH (OVER/SHORT)</v>
      </c>
      <c r="C103" s="11"/>
      <c r="D103" s="6">
        <v>-0.48</v>
      </c>
      <c r="E103" s="2"/>
      <c r="F103" s="7">
        <f t="shared" si="29"/>
        <v>-4.7595150887039738E-6</v>
      </c>
      <c r="G103" s="2"/>
      <c r="H103" s="6">
        <v>10</v>
      </c>
      <c r="I103" s="2"/>
      <c r="J103" s="7">
        <f t="shared" si="30"/>
        <v>3.1253711378226163E-5</v>
      </c>
      <c r="K103" s="2"/>
      <c r="L103" s="6">
        <f t="shared" si="31"/>
        <v>-10.48</v>
      </c>
      <c r="M103" s="2"/>
      <c r="N103" s="7">
        <f t="shared" si="32"/>
        <v>-1.048</v>
      </c>
      <c r="O103" s="11"/>
      <c r="P103" s="6">
        <v>-1.01</v>
      </c>
      <c r="Q103" s="2"/>
      <c r="R103" s="7">
        <f t="shared" si="33"/>
        <v>-1.2379454904654845E-6</v>
      </c>
      <c r="S103" s="2"/>
      <c r="T103" s="6">
        <v>50</v>
      </c>
      <c r="U103" s="2"/>
      <c r="V103" s="7">
        <f t="shared" si="34"/>
        <v>3.1350124459994106E-5</v>
      </c>
      <c r="W103" s="2"/>
      <c r="X103" s="6">
        <f t="shared" si="35"/>
        <v>-51.01</v>
      </c>
      <c r="Y103" s="2"/>
      <c r="Z103" s="7">
        <f t="shared" si="36"/>
        <v>-1.0202</v>
      </c>
    </row>
    <row r="104" spans="1:26" s="29" customFormat="1" outlineLevel="1" collapsed="1" x14ac:dyDescent="0.2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315.25</v>
      </c>
      <c r="E104" s="1"/>
      <c r="F104" s="5">
        <f t="shared" si="29"/>
        <v>3.1259106910706829E-3</v>
      </c>
      <c r="G104" s="1"/>
      <c r="H104" s="1">
        <f>SUM(OSRRefH22_4x_0)</f>
        <v>600</v>
      </c>
      <c r="I104" s="1"/>
      <c r="J104" s="5">
        <f t="shared" si="30"/>
        <v>1.8752226826935698E-3</v>
      </c>
      <c r="K104" s="1"/>
      <c r="L104" s="1">
        <f t="shared" si="31"/>
        <v>-284.75</v>
      </c>
      <c r="M104" s="1"/>
      <c r="N104" s="5">
        <f t="shared" si="32"/>
        <v>-0.47458333333333336</v>
      </c>
      <c r="O104" s="14"/>
      <c r="P104" s="1">
        <f>SUM(OSRRefP22_4x_0)</f>
        <v>1672.92</v>
      </c>
      <c r="Q104" s="1"/>
      <c r="R104" s="5">
        <f t="shared" si="33"/>
        <v>2.0504789801084342E-3</v>
      </c>
      <c r="S104" s="1"/>
      <c r="T104" s="1">
        <f>SUM(OSRRefT22_4x_0)</f>
        <v>2846</v>
      </c>
      <c r="U104" s="1"/>
      <c r="V104" s="5">
        <f t="shared" si="34"/>
        <v>1.7844490842628645E-3</v>
      </c>
      <c r="W104" s="1"/>
      <c r="X104" s="1">
        <f t="shared" si="35"/>
        <v>-1173.08</v>
      </c>
      <c r="Y104" s="1"/>
      <c r="Z104" s="5">
        <f t="shared" si="36"/>
        <v>-0.41218552354181304</v>
      </c>
    </row>
    <row r="105" spans="1:26" s="24" customFormat="1" hidden="1" outlineLevel="2" x14ac:dyDescent="0.25">
      <c r="A105" s="28"/>
      <c r="B105" s="11" t="str">
        <f>CONCATENATE("          ", "6381", " - ", "BANK/CREDIT CARD FEES")</f>
        <v xml:space="preserve">          6381 - BANK/CREDIT CARD FEES</v>
      </c>
      <c r="C105" s="11"/>
      <c r="D105" s="6">
        <v>315.25</v>
      </c>
      <c r="E105" s="2"/>
      <c r="F105" s="7">
        <f t="shared" si="29"/>
        <v>3.1259106910706829E-3</v>
      </c>
      <c r="G105" s="2"/>
      <c r="H105" s="6">
        <v>600</v>
      </c>
      <c r="I105" s="2"/>
      <c r="J105" s="7">
        <f t="shared" si="30"/>
        <v>1.8752226826935698E-3</v>
      </c>
      <c r="K105" s="2"/>
      <c r="L105" s="6">
        <f t="shared" si="31"/>
        <v>-284.75</v>
      </c>
      <c r="M105" s="2"/>
      <c r="N105" s="7">
        <f t="shared" si="32"/>
        <v>-0.47458333333333336</v>
      </c>
      <c r="O105" s="11"/>
      <c r="P105" s="6">
        <v>1672.92</v>
      </c>
      <c r="Q105" s="2"/>
      <c r="R105" s="7">
        <f t="shared" si="33"/>
        <v>2.0504789801084342E-3</v>
      </c>
      <c r="S105" s="2"/>
      <c r="T105" s="6">
        <v>2846</v>
      </c>
      <c r="U105" s="2"/>
      <c r="V105" s="7">
        <f t="shared" si="34"/>
        <v>1.7844490842628645E-3</v>
      </c>
      <c r="W105" s="2"/>
      <c r="X105" s="6">
        <f t="shared" si="35"/>
        <v>-1173.08</v>
      </c>
      <c r="Y105" s="2"/>
      <c r="Z105" s="7">
        <f t="shared" si="36"/>
        <v>-0.41218552354181304</v>
      </c>
    </row>
    <row r="106" spans="1:26" s="29" customFormat="1" outlineLevel="1" collapsed="1" x14ac:dyDescent="0.2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24896</v>
      </c>
      <c r="I106" s="1"/>
      <c r="J106" s="5">
        <f t="shared" si="30"/>
        <v>7.7809239847231856E-2</v>
      </c>
      <c r="K106" s="1"/>
      <c r="L106" s="1">
        <f t="shared" si="31"/>
        <v>-24896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125134.00000000001</v>
      </c>
      <c r="U106" s="1"/>
      <c r="V106" s="5">
        <f t="shared" si="34"/>
        <v>7.8459329483538065E-2</v>
      </c>
      <c r="W106" s="1"/>
      <c r="X106" s="1">
        <f t="shared" si="35"/>
        <v>-125134.00000000001</v>
      </c>
      <c r="Y106" s="1"/>
      <c r="Z106" s="5">
        <f t="shared" si="36"/>
        <v>-1</v>
      </c>
    </row>
    <row r="107" spans="1:26" s="24" customFormat="1" hidden="1" outlineLevel="2" x14ac:dyDescent="0.25">
      <c r="A107" s="28"/>
      <c r="B107" s="11" t="str">
        <f>CONCATENATE("          ", "6382", " - ", "DISCOUNTS/MARK DOWNS")</f>
        <v xml:space="preserve">          6382 - DISCOUNTS/MARK DOWNS</v>
      </c>
      <c r="C107" s="11"/>
      <c r="D107" s="6"/>
      <c r="E107" s="2"/>
      <c r="F107" s="7">
        <f t="shared" si="29"/>
        <v>0</v>
      </c>
      <c r="G107" s="2"/>
      <c r="H107" s="6">
        <v>24896</v>
      </c>
      <c r="I107" s="2"/>
      <c r="J107" s="7">
        <f t="shared" si="30"/>
        <v>7.7809239847231856E-2</v>
      </c>
      <c r="K107" s="2"/>
      <c r="L107" s="6">
        <f t="shared" si="31"/>
        <v>-24896</v>
      </c>
      <c r="M107" s="2"/>
      <c r="N107" s="7">
        <f t="shared" si="32"/>
        <v>-1</v>
      </c>
      <c r="O107" s="11"/>
      <c r="P107" s="6">
        <v>0</v>
      </c>
      <c r="Q107" s="2"/>
      <c r="R107" s="7">
        <f t="shared" si="33"/>
        <v>0</v>
      </c>
      <c r="S107" s="2"/>
      <c r="T107" s="6">
        <v>125134.00000000001</v>
      </c>
      <c r="U107" s="2"/>
      <c r="V107" s="7">
        <f t="shared" si="34"/>
        <v>7.8459329483538065E-2</v>
      </c>
      <c r="W107" s="2"/>
      <c r="X107" s="6">
        <f t="shared" si="35"/>
        <v>-125134.00000000001</v>
      </c>
      <c r="Y107" s="2"/>
      <c r="Z107" s="7">
        <f t="shared" si="36"/>
        <v>-1</v>
      </c>
    </row>
    <row r="108" spans="1:26" s="29" customFormat="1" outlineLevel="1" collapsed="1" x14ac:dyDescent="0.25">
      <c r="A108" s="27"/>
      <c r="B108" s="14" t="str">
        <f>CONCATENATE("     ","Donations                                         ")</f>
        <v xml:space="preserve">     Donations              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0</v>
      </c>
      <c r="I108" s="1"/>
      <c r="J108" s="5">
        <f t="shared" si="30"/>
        <v>0</v>
      </c>
      <c r="K108" s="1"/>
      <c r="L108" s="1">
        <f t="shared" si="31"/>
        <v>0</v>
      </c>
      <c r="M108" s="1"/>
      <c r="N108" s="5">
        <f t="shared" si="32"/>
        <v>0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0</v>
      </c>
      <c r="U108" s="1"/>
      <c r="V108" s="5">
        <f t="shared" si="34"/>
        <v>0</v>
      </c>
      <c r="W108" s="1"/>
      <c r="X108" s="1">
        <f t="shared" si="35"/>
        <v>0</v>
      </c>
      <c r="Y108" s="1"/>
      <c r="Z108" s="5">
        <f t="shared" si="36"/>
        <v>0</v>
      </c>
    </row>
    <row r="109" spans="1:26" s="24" customFormat="1" hidden="1" outlineLevel="2" x14ac:dyDescent="0.25">
      <c r="A109" s="28"/>
      <c r="B109" s="11" t="str">
        <f>CONCATENATE("          ", "6395", " - ", "DONATION-OFF CAMPUS")</f>
        <v xml:space="preserve">          6395 - DONATION-OFF CAMPUS</v>
      </c>
      <c r="C109" s="11"/>
      <c r="D109" s="6"/>
      <c r="E109" s="2"/>
      <c r="F109" s="7">
        <f t="shared" si="29"/>
        <v>0</v>
      </c>
      <c r="G109" s="2"/>
      <c r="H109" s="6"/>
      <c r="I109" s="2"/>
      <c r="J109" s="7">
        <f t="shared" si="30"/>
        <v>0</v>
      </c>
      <c r="K109" s="2"/>
      <c r="L109" s="6">
        <f t="shared" si="31"/>
        <v>0</v>
      </c>
      <c r="M109" s="2"/>
      <c r="N109" s="7">
        <f t="shared" si="32"/>
        <v>0</v>
      </c>
      <c r="O109" s="11"/>
      <c r="P109" s="6"/>
      <c r="Q109" s="2"/>
      <c r="R109" s="7">
        <f t="shared" si="33"/>
        <v>0</v>
      </c>
      <c r="S109" s="2"/>
      <c r="T109" s="6">
        <v>0</v>
      </c>
      <c r="U109" s="2"/>
      <c r="V109" s="7">
        <f t="shared" si="34"/>
        <v>0</v>
      </c>
      <c r="W109" s="2"/>
      <c r="X109" s="6">
        <f t="shared" si="35"/>
        <v>0</v>
      </c>
      <c r="Y109" s="2"/>
      <c r="Z109" s="7">
        <f t="shared" si="36"/>
        <v>0</v>
      </c>
    </row>
    <row r="110" spans="1:26" s="29" customFormat="1" outlineLevel="1" collapsed="1" x14ac:dyDescent="0.25">
      <c r="A110" s="27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SUM(OSRRefD22_7x_0)</f>
        <v>0</v>
      </c>
      <c r="E110" s="1"/>
      <c r="F110" s="5">
        <f t="shared" si="29"/>
        <v>0</v>
      </c>
      <c r="G110" s="1"/>
      <c r="H110" s="1">
        <f>SUM(OSRRefH22_7x_0)</f>
        <v>200</v>
      </c>
      <c r="I110" s="1"/>
      <c r="J110" s="5">
        <f t="shared" si="30"/>
        <v>6.2507422756452331E-4</v>
      </c>
      <c r="K110" s="1"/>
      <c r="L110" s="1">
        <f t="shared" si="31"/>
        <v>-200</v>
      </c>
      <c r="M110" s="1"/>
      <c r="N110" s="5">
        <f t="shared" si="32"/>
        <v>-1</v>
      </c>
      <c r="O110" s="14"/>
      <c r="P110" s="1">
        <f>SUM(OSRRefP22_7x_0)</f>
        <v>0</v>
      </c>
      <c r="Q110" s="1"/>
      <c r="R110" s="5">
        <f t="shared" si="33"/>
        <v>0</v>
      </c>
      <c r="S110" s="1"/>
      <c r="T110" s="1">
        <f>SUM(OSRRefT22_7x_0)</f>
        <v>1000</v>
      </c>
      <c r="U110" s="1"/>
      <c r="V110" s="5">
        <f t="shared" si="34"/>
        <v>6.2700248919988209E-4</v>
      </c>
      <c r="W110" s="1"/>
      <c r="X110" s="1">
        <f t="shared" si="35"/>
        <v>-1000</v>
      </c>
      <c r="Y110" s="1"/>
      <c r="Z110" s="5">
        <f t="shared" si="36"/>
        <v>-1</v>
      </c>
    </row>
    <row r="111" spans="1:26" s="24" customFormat="1" hidden="1" outlineLevel="2" x14ac:dyDescent="0.25">
      <c r="A111" s="28"/>
      <c r="B111" s="11" t="str">
        <f>CONCATENATE("          ", "6277", " - ", "EMPLOYEE APPRECIATION")</f>
        <v xml:space="preserve">          6277 - EMPLOYEE APPRECIATION</v>
      </c>
      <c r="C111" s="11"/>
      <c r="D111" s="6"/>
      <c r="E111" s="2"/>
      <c r="F111" s="7">
        <f t="shared" si="29"/>
        <v>0</v>
      </c>
      <c r="G111" s="2"/>
      <c r="H111" s="6">
        <v>200</v>
      </c>
      <c r="I111" s="2"/>
      <c r="J111" s="7">
        <f t="shared" si="30"/>
        <v>6.2507422756452331E-4</v>
      </c>
      <c r="K111" s="2"/>
      <c r="L111" s="6">
        <f t="shared" si="31"/>
        <v>-200</v>
      </c>
      <c r="M111" s="2"/>
      <c r="N111" s="7">
        <f t="shared" si="32"/>
        <v>-1</v>
      </c>
      <c r="O111" s="11"/>
      <c r="P111" s="6"/>
      <c r="Q111" s="2"/>
      <c r="R111" s="7">
        <f t="shared" si="33"/>
        <v>0</v>
      </c>
      <c r="S111" s="2"/>
      <c r="T111" s="6">
        <v>1000</v>
      </c>
      <c r="U111" s="2"/>
      <c r="V111" s="7">
        <f t="shared" si="34"/>
        <v>6.2700248919988209E-4</v>
      </c>
      <c r="W111" s="2"/>
      <c r="X111" s="6">
        <f t="shared" si="35"/>
        <v>-1000</v>
      </c>
      <c r="Y111" s="2"/>
      <c r="Z111" s="7">
        <f t="shared" si="36"/>
        <v>-1</v>
      </c>
    </row>
    <row r="112" spans="1:26" s="29" customFormat="1" outlineLevel="1" collapsed="1" x14ac:dyDescent="0.25">
      <c r="A112" s="27"/>
      <c r="B112" s="14" t="str">
        <f>CONCATENATE("     ","Freight out/Postage                               ")</f>
        <v xml:space="preserve">     Freight out/Postage                               </v>
      </c>
      <c r="C112" s="14"/>
      <c r="D112" s="1">
        <f>SUM(OSRRefD22_8x_0)</f>
        <v>0</v>
      </c>
      <c r="E112" s="1"/>
      <c r="F112" s="5">
        <f t="shared" si="29"/>
        <v>0</v>
      </c>
      <c r="G112" s="1"/>
      <c r="H112" s="1">
        <f>SUM(OSRRefH22_8x_0)</f>
        <v>10</v>
      </c>
      <c r="I112" s="1"/>
      <c r="J112" s="5">
        <f t="shared" si="30"/>
        <v>3.1253711378226163E-5</v>
      </c>
      <c r="K112" s="1"/>
      <c r="L112" s="1">
        <f t="shared" si="31"/>
        <v>-10</v>
      </c>
      <c r="M112" s="1"/>
      <c r="N112" s="5">
        <f t="shared" si="32"/>
        <v>-1</v>
      </c>
      <c r="O112" s="14"/>
      <c r="P112" s="1">
        <f>SUM(OSRRefP22_8x_0)</f>
        <v>91.96</v>
      </c>
      <c r="Q112" s="1"/>
      <c r="R112" s="5">
        <f t="shared" si="33"/>
        <v>1.1271432406258015E-4</v>
      </c>
      <c r="S112" s="1"/>
      <c r="T112" s="1">
        <f>SUM(OSRRefT22_8x_0)</f>
        <v>50</v>
      </c>
      <c r="U112" s="1"/>
      <c r="V112" s="5">
        <f t="shared" si="34"/>
        <v>3.1350124459994106E-5</v>
      </c>
      <c r="W112" s="1"/>
      <c r="X112" s="1">
        <f t="shared" si="35"/>
        <v>41.959999999999994</v>
      </c>
      <c r="Y112" s="1"/>
      <c r="Z112" s="5">
        <f t="shared" si="36"/>
        <v>0.83919999999999983</v>
      </c>
    </row>
    <row r="113" spans="1:26" s="24" customFormat="1" hidden="1" outlineLevel="2" x14ac:dyDescent="0.25">
      <c r="A113" s="28"/>
      <c r="B113" s="11" t="str">
        <f>CONCATENATE("          ", "6305", " - ", "FREIGHT OUT")</f>
        <v xml:space="preserve">          6305 - FREIGHT OUT</v>
      </c>
      <c r="C113" s="11"/>
      <c r="D113" s="6"/>
      <c r="E113" s="2"/>
      <c r="F113" s="7">
        <f t="shared" si="29"/>
        <v>0</v>
      </c>
      <c r="G113" s="2"/>
      <c r="H113" s="6"/>
      <c r="I113" s="2"/>
      <c r="J113" s="7">
        <f t="shared" si="30"/>
        <v>0</v>
      </c>
      <c r="K113" s="2"/>
      <c r="L113" s="6">
        <f t="shared" si="31"/>
        <v>0</v>
      </c>
      <c r="M113" s="2"/>
      <c r="N113" s="7">
        <f t="shared" si="32"/>
        <v>0</v>
      </c>
      <c r="O113" s="11"/>
      <c r="P113" s="6">
        <v>91.96</v>
      </c>
      <c r="Q113" s="2"/>
      <c r="R113" s="7">
        <f t="shared" si="33"/>
        <v>1.1271432406258015E-4</v>
      </c>
      <c r="S113" s="2"/>
      <c r="T113" s="6"/>
      <c r="U113" s="2"/>
      <c r="V113" s="7">
        <f t="shared" si="34"/>
        <v>0</v>
      </c>
      <c r="W113" s="2"/>
      <c r="X113" s="6">
        <f t="shared" si="35"/>
        <v>91.96</v>
      </c>
      <c r="Y113" s="2"/>
      <c r="Z113" s="7">
        <f t="shared" si="36"/>
        <v>0</v>
      </c>
    </row>
    <row r="114" spans="1:26" s="24" customFormat="1" hidden="1" outlineLevel="2" x14ac:dyDescent="0.25">
      <c r="A114" s="28"/>
      <c r="B114" s="11" t="str">
        <f>CONCATENATE("          ", "6307", " - ", "POSTAGE")</f>
        <v xml:space="preserve">          6307 - POSTAGE</v>
      </c>
      <c r="C114" s="11"/>
      <c r="D114" s="6"/>
      <c r="E114" s="2"/>
      <c r="F114" s="7">
        <f t="shared" si="29"/>
        <v>0</v>
      </c>
      <c r="G114" s="2"/>
      <c r="H114" s="6">
        <v>10</v>
      </c>
      <c r="I114" s="2"/>
      <c r="J114" s="7">
        <f t="shared" si="30"/>
        <v>3.1253711378226163E-5</v>
      </c>
      <c r="K114" s="2"/>
      <c r="L114" s="6">
        <f t="shared" si="31"/>
        <v>-10</v>
      </c>
      <c r="M114" s="2"/>
      <c r="N114" s="7">
        <f t="shared" si="32"/>
        <v>-1</v>
      </c>
      <c r="O114" s="11"/>
      <c r="P114" s="6"/>
      <c r="Q114" s="2"/>
      <c r="R114" s="7">
        <f t="shared" si="33"/>
        <v>0</v>
      </c>
      <c r="S114" s="2"/>
      <c r="T114" s="6">
        <v>50</v>
      </c>
      <c r="U114" s="2"/>
      <c r="V114" s="7">
        <f t="shared" si="34"/>
        <v>3.1350124459994106E-5</v>
      </c>
      <c r="W114" s="2"/>
      <c r="X114" s="6">
        <f t="shared" si="35"/>
        <v>-50</v>
      </c>
      <c r="Y114" s="2"/>
      <c r="Z114" s="7">
        <f t="shared" si="36"/>
        <v>-1</v>
      </c>
    </row>
    <row r="115" spans="1:26" s="29" customFormat="1" outlineLevel="1" collapsed="1" x14ac:dyDescent="0.25">
      <c r="A115" s="27"/>
      <c r="B115" s="14" t="str">
        <f>CONCATENATE("     ","General                                           ")</f>
        <v xml:space="preserve">     General                                           </v>
      </c>
      <c r="C115" s="14"/>
      <c r="D115" s="1">
        <f>SUM(OSRRefD22_9x_0)</f>
        <v>0</v>
      </c>
      <c r="E115" s="1"/>
      <c r="F115" s="5">
        <f t="shared" ref="F115:F117" si="37">IF(D$12=0,0,D115/D$12)</f>
        <v>0</v>
      </c>
      <c r="G115" s="1"/>
      <c r="H115" s="1">
        <f>SUM(OSRRefH22_9x_0)</f>
        <v>1300</v>
      </c>
      <c r="I115" s="1"/>
      <c r="J115" s="5">
        <f t="shared" ref="J115:J117" si="38">IF(H$12=0,0,H115/H$12)</f>
        <v>4.0629824791694018E-3</v>
      </c>
      <c r="K115" s="1"/>
      <c r="L115" s="1">
        <f t="shared" ref="L115:L117" si="39">+D115-H115</f>
        <v>-1300</v>
      </c>
      <c r="M115" s="1"/>
      <c r="N115" s="5">
        <f t="shared" ref="N115:N117" si="40">IF(H115=0,0,L115/H115)</f>
        <v>-1</v>
      </c>
      <c r="O115" s="14"/>
      <c r="P115" s="1">
        <f>SUM(OSRRefP22_9x_0)</f>
        <v>0</v>
      </c>
      <c r="Q115" s="1"/>
      <c r="R115" s="5">
        <f t="shared" ref="R115:R117" si="41">IF(P$12=0,0,P115/P$12)</f>
        <v>0</v>
      </c>
      <c r="S115" s="1"/>
      <c r="T115" s="1">
        <f>SUM(OSRRefT22_9x_0)</f>
        <v>1500</v>
      </c>
      <c r="U115" s="1"/>
      <c r="V115" s="5">
        <f t="shared" ref="V115:V117" si="42">IF(T$12=0,0,T115/T$12)</f>
        <v>9.4050373379982318E-4</v>
      </c>
      <c r="W115" s="1"/>
      <c r="X115" s="1">
        <f t="shared" ref="X115:X117" si="43">+P115-T115</f>
        <v>-1500</v>
      </c>
      <c r="Y115" s="1"/>
      <c r="Z115" s="5">
        <f t="shared" ref="Z115:Z117" si="44">IF(T115=0,0,X115/T115)</f>
        <v>-1</v>
      </c>
    </row>
    <row r="116" spans="1:26" s="24" customFormat="1" hidden="1" outlineLevel="2" x14ac:dyDescent="0.25">
      <c r="A116" s="28"/>
      <c r="B116" s="11" t="str">
        <f>CONCATENATE("          ", "6276", " - ", "PROPERTY TAX")</f>
        <v xml:space="preserve">          6276 - PROPERTY TAX</v>
      </c>
      <c r="C116" s="11"/>
      <c r="D116" s="6"/>
      <c r="E116" s="2"/>
      <c r="F116" s="7">
        <f t="shared" si="37"/>
        <v>0</v>
      </c>
      <c r="G116" s="2"/>
      <c r="H116" s="6"/>
      <c r="I116" s="2"/>
      <c r="J116" s="7">
        <f t="shared" si="38"/>
        <v>0</v>
      </c>
      <c r="K116" s="2"/>
      <c r="L116" s="6">
        <f t="shared" si="39"/>
        <v>0</v>
      </c>
      <c r="M116" s="2"/>
      <c r="N116" s="7">
        <f t="shared" si="40"/>
        <v>0</v>
      </c>
      <c r="O116" s="11"/>
      <c r="P116" s="6"/>
      <c r="Q116" s="2"/>
      <c r="R116" s="7">
        <f t="shared" si="41"/>
        <v>0</v>
      </c>
      <c r="S116" s="2"/>
      <c r="T116" s="6">
        <v>150</v>
      </c>
      <c r="U116" s="2"/>
      <c r="V116" s="7">
        <f t="shared" si="42"/>
        <v>9.4050373379982324E-5</v>
      </c>
      <c r="W116" s="2"/>
      <c r="X116" s="6">
        <f t="shared" si="43"/>
        <v>-150</v>
      </c>
      <c r="Y116" s="2"/>
      <c r="Z116" s="7">
        <f t="shared" si="44"/>
        <v>-1</v>
      </c>
    </row>
    <row r="117" spans="1:26" s="24" customFormat="1" hidden="1" outlineLevel="2" x14ac:dyDescent="0.25">
      <c r="A117" s="28"/>
      <c r="B117" s="11" t="str">
        <f>CONCATENATE("          ", "6279", " - ", "GENERAL EXPENSE")</f>
        <v xml:space="preserve">          6279 - GENERAL EXPENSE</v>
      </c>
      <c r="C117" s="11"/>
      <c r="D117" s="6"/>
      <c r="E117" s="2"/>
      <c r="F117" s="7">
        <f t="shared" si="37"/>
        <v>0</v>
      </c>
      <c r="G117" s="2"/>
      <c r="H117" s="6">
        <v>1300</v>
      </c>
      <c r="I117" s="2"/>
      <c r="J117" s="7">
        <f t="shared" si="38"/>
        <v>4.0629824791694018E-3</v>
      </c>
      <c r="K117" s="2"/>
      <c r="L117" s="6">
        <f t="shared" si="39"/>
        <v>-1300</v>
      </c>
      <c r="M117" s="2"/>
      <c r="N117" s="7">
        <f t="shared" si="40"/>
        <v>-1</v>
      </c>
      <c r="O117" s="11"/>
      <c r="P117" s="6"/>
      <c r="Q117" s="2"/>
      <c r="R117" s="7">
        <f t="shared" si="41"/>
        <v>0</v>
      </c>
      <c r="S117" s="2"/>
      <c r="T117" s="6">
        <v>1350</v>
      </c>
      <c r="U117" s="2"/>
      <c r="V117" s="7">
        <f t="shared" si="42"/>
        <v>8.4645336041984083E-4</v>
      </c>
      <c r="W117" s="2"/>
      <c r="X117" s="6">
        <f t="shared" si="43"/>
        <v>-1350</v>
      </c>
      <c r="Y117" s="2"/>
      <c r="Z117" s="7">
        <f t="shared" si="44"/>
        <v>-1</v>
      </c>
    </row>
    <row r="118" spans="1:26" s="29" customFormat="1" outlineLevel="1" collapsed="1" x14ac:dyDescent="0.25">
      <c r="A118" s="27"/>
      <c r="B118" s="14" t="str">
        <f>CONCATENATE("     ","Insurance                                         ")</f>
        <v xml:space="preserve">     Insurance                                         </v>
      </c>
      <c r="C118" s="14"/>
      <c r="D118" s="1">
        <f>SUM(OSRRefD22_10x_0)</f>
        <v>161.18</v>
      </c>
      <c r="E118" s="1"/>
      <c r="F118" s="5">
        <f t="shared" ref="F118:F128" si="45">IF(D$12=0,0,D118/D$12)</f>
        <v>1.5982055041610552E-3</v>
      </c>
      <c r="G118" s="1"/>
      <c r="H118" s="1">
        <f>SUM(OSRRefH22_10x_0)</f>
        <v>176</v>
      </c>
      <c r="I118" s="1"/>
      <c r="J118" s="5">
        <f t="shared" ref="J118:J128" si="46">IF(H$12=0,0,H118/H$12)</f>
        <v>5.5006532025678049E-4</v>
      </c>
      <c r="K118" s="1"/>
      <c r="L118" s="1">
        <f t="shared" ref="L118:L128" si="47">+D118-H118</f>
        <v>-14.819999999999993</v>
      </c>
      <c r="M118" s="1"/>
      <c r="N118" s="5">
        <f t="shared" ref="N118:N128" si="48">IF(H118=0,0,L118/H118)</f>
        <v>-8.4204545454545421E-2</v>
      </c>
      <c r="O118" s="14"/>
      <c r="P118" s="1">
        <f>SUM(OSRRefP22_10x_0)</f>
        <v>805.9</v>
      </c>
      <c r="Q118" s="1"/>
      <c r="R118" s="5">
        <f t="shared" ref="R118:R128" si="49">IF(P$12=0,0,P118/P$12)</f>
        <v>9.8778244630310296E-4</v>
      </c>
      <c r="S118" s="1"/>
      <c r="T118" s="1">
        <f>SUM(OSRRefT22_10x_0)</f>
        <v>880</v>
      </c>
      <c r="U118" s="1"/>
      <c r="V118" s="5">
        <f t="shared" ref="V118:V128" si="50">IF(T$12=0,0,T118/T$12)</f>
        <v>5.5176219049589631E-4</v>
      </c>
      <c r="W118" s="1"/>
      <c r="X118" s="1">
        <f t="shared" ref="X118:X128" si="51">+P118-T118</f>
        <v>-74.100000000000023</v>
      </c>
      <c r="Y118" s="1"/>
      <c r="Z118" s="5">
        <f t="shared" ref="Z118:Z128" si="52">IF(T118=0,0,X118/T118)</f>
        <v>-8.4204545454545476E-2</v>
      </c>
    </row>
    <row r="119" spans="1:26" s="24" customFormat="1" hidden="1" outlineLevel="2" x14ac:dyDescent="0.25">
      <c r="A119" s="28"/>
      <c r="B119" s="11" t="str">
        <f>CONCATENATE("          ", "6314", " - ", "LIABILITY INSURANCE")</f>
        <v xml:space="preserve">          6314 - LIABILITY INSURANCE</v>
      </c>
      <c r="C119" s="11"/>
      <c r="D119" s="6">
        <v>161.18</v>
      </c>
      <c r="E119" s="2"/>
      <c r="F119" s="7">
        <f t="shared" si="45"/>
        <v>1.5982055041610552E-3</v>
      </c>
      <c r="G119" s="2"/>
      <c r="H119" s="6">
        <v>176</v>
      </c>
      <c r="I119" s="2"/>
      <c r="J119" s="7">
        <f t="shared" si="46"/>
        <v>5.5006532025678049E-4</v>
      </c>
      <c r="K119" s="2"/>
      <c r="L119" s="6">
        <f t="shared" si="47"/>
        <v>-14.819999999999993</v>
      </c>
      <c r="M119" s="2"/>
      <c r="N119" s="7">
        <f t="shared" si="48"/>
        <v>-8.4204545454545421E-2</v>
      </c>
      <c r="O119" s="11"/>
      <c r="P119" s="6">
        <v>805.9</v>
      </c>
      <c r="Q119" s="2"/>
      <c r="R119" s="7">
        <f t="shared" si="49"/>
        <v>9.8778244630310296E-4</v>
      </c>
      <c r="S119" s="2"/>
      <c r="T119" s="6">
        <v>880</v>
      </c>
      <c r="U119" s="2"/>
      <c r="V119" s="7">
        <f t="shared" si="50"/>
        <v>5.5176219049589631E-4</v>
      </c>
      <c r="W119" s="2"/>
      <c r="X119" s="6">
        <f t="shared" si="51"/>
        <v>-74.100000000000023</v>
      </c>
      <c r="Y119" s="2"/>
      <c r="Z119" s="7">
        <f t="shared" si="52"/>
        <v>-8.4204545454545476E-2</v>
      </c>
    </row>
    <row r="120" spans="1:26" s="29" customFormat="1" outlineLevel="1" collapsed="1" x14ac:dyDescent="0.25">
      <c r="A120" s="27"/>
      <c r="B120" s="14" t="str">
        <f>CONCATENATE("     ","Inventory Adjustment                              ")</f>
        <v xml:space="preserve">     Inventory Adjustment                              </v>
      </c>
      <c r="C120" s="14"/>
      <c r="D120" s="1">
        <f>SUM(OSRRefD22_11x_0)</f>
        <v>1100</v>
      </c>
      <c r="E120" s="1"/>
      <c r="F120" s="5">
        <f t="shared" si="45"/>
        <v>1.0907222078279939E-2</v>
      </c>
      <c r="G120" s="1"/>
      <c r="H120" s="1">
        <f>SUM(OSRRefH22_11x_0)</f>
        <v>1100</v>
      </c>
      <c r="I120" s="1"/>
      <c r="J120" s="5">
        <f t="shared" si="46"/>
        <v>3.4379082516048779E-3</v>
      </c>
      <c r="K120" s="1"/>
      <c r="L120" s="1">
        <f t="shared" si="47"/>
        <v>0</v>
      </c>
      <c r="M120" s="1"/>
      <c r="N120" s="5">
        <f t="shared" si="48"/>
        <v>0</v>
      </c>
      <c r="O120" s="14"/>
      <c r="P120" s="1">
        <f>SUM(OSRRefP22_11x_0)</f>
        <v>5500</v>
      </c>
      <c r="Q120" s="1"/>
      <c r="R120" s="5">
        <f t="shared" si="49"/>
        <v>6.7412873243169955E-3</v>
      </c>
      <c r="S120" s="1"/>
      <c r="T120" s="1">
        <f>SUM(OSRRefT22_11x_0)</f>
        <v>5500</v>
      </c>
      <c r="U120" s="1"/>
      <c r="V120" s="5">
        <f t="shared" si="50"/>
        <v>3.4485136905993518E-3</v>
      </c>
      <c r="W120" s="1"/>
      <c r="X120" s="1">
        <f t="shared" si="51"/>
        <v>0</v>
      </c>
      <c r="Y120" s="1"/>
      <c r="Z120" s="5">
        <f t="shared" si="52"/>
        <v>0</v>
      </c>
    </row>
    <row r="121" spans="1:26" s="24" customFormat="1" hidden="1" outlineLevel="2" x14ac:dyDescent="0.25">
      <c r="A121" s="28"/>
      <c r="B121" s="11" t="str">
        <f>CONCATENATE("          ", "6408", " - ", "INVENTORY ADJUSTMENT")</f>
        <v xml:space="preserve">          6408 - INVENTORY ADJUSTMENT</v>
      </c>
      <c r="C121" s="11"/>
      <c r="D121" s="6">
        <v>1100</v>
      </c>
      <c r="E121" s="2"/>
      <c r="F121" s="7">
        <f t="shared" si="45"/>
        <v>1.0907222078279939E-2</v>
      </c>
      <c r="G121" s="2"/>
      <c r="H121" s="6">
        <v>1100</v>
      </c>
      <c r="I121" s="2"/>
      <c r="J121" s="7">
        <f t="shared" si="46"/>
        <v>3.4379082516048779E-3</v>
      </c>
      <c r="K121" s="2"/>
      <c r="L121" s="6">
        <f t="shared" si="47"/>
        <v>0</v>
      </c>
      <c r="M121" s="2"/>
      <c r="N121" s="7">
        <f t="shared" si="48"/>
        <v>0</v>
      </c>
      <c r="O121" s="11"/>
      <c r="P121" s="6">
        <v>5500</v>
      </c>
      <c r="Q121" s="2"/>
      <c r="R121" s="7">
        <f t="shared" si="49"/>
        <v>6.7412873243169955E-3</v>
      </c>
      <c r="S121" s="2"/>
      <c r="T121" s="6">
        <v>5500</v>
      </c>
      <c r="U121" s="2"/>
      <c r="V121" s="7">
        <f t="shared" si="50"/>
        <v>3.4485136905993518E-3</v>
      </c>
      <c r="W121" s="2"/>
      <c r="X121" s="6">
        <f t="shared" si="51"/>
        <v>0</v>
      </c>
      <c r="Y121" s="2"/>
      <c r="Z121" s="7">
        <f t="shared" si="52"/>
        <v>0</v>
      </c>
    </row>
    <row r="122" spans="1:26" s="29" customFormat="1" outlineLevel="1" collapsed="1" x14ac:dyDescent="0.25">
      <c r="A122" s="27"/>
      <c r="B122" s="14" t="str">
        <f>CONCATENATE("     ","Professional Services                             ")</f>
        <v xml:space="preserve">     Professional Services                             </v>
      </c>
      <c r="C122" s="14"/>
      <c r="D122" s="1">
        <f>SUM(OSRRefD22_12x_0)</f>
        <v>0</v>
      </c>
      <c r="E122" s="1"/>
      <c r="F122" s="5">
        <f t="shared" si="45"/>
        <v>0</v>
      </c>
      <c r="G122" s="1"/>
      <c r="H122" s="1">
        <f>SUM(OSRRefH22_12x_0)</f>
        <v>0</v>
      </c>
      <c r="I122" s="1"/>
      <c r="J122" s="5">
        <f t="shared" si="46"/>
        <v>0</v>
      </c>
      <c r="K122" s="1"/>
      <c r="L122" s="1">
        <f t="shared" si="47"/>
        <v>0</v>
      </c>
      <c r="M122" s="1"/>
      <c r="N122" s="5">
        <f t="shared" si="48"/>
        <v>0</v>
      </c>
      <c r="O122" s="14"/>
      <c r="P122" s="1">
        <f>SUM(OSRRefP22_12x_0)</f>
        <v>0</v>
      </c>
      <c r="Q122" s="1"/>
      <c r="R122" s="5">
        <f t="shared" si="49"/>
        <v>0</v>
      </c>
      <c r="S122" s="1"/>
      <c r="T122" s="1">
        <f>SUM(OSRRefT22_12x_0)</f>
        <v>6000</v>
      </c>
      <c r="U122" s="1"/>
      <c r="V122" s="5">
        <f t="shared" si="50"/>
        <v>3.7620149351992927E-3</v>
      </c>
      <c r="W122" s="1"/>
      <c r="X122" s="1">
        <f t="shared" si="51"/>
        <v>-6000</v>
      </c>
      <c r="Y122" s="1"/>
      <c r="Z122" s="5">
        <f t="shared" si="52"/>
        <v>-1</v>
      </c>
    </row>
    <row r="123" spans="1:26" s="24" customFormat="1" hidden="1" outlineLevel="2" x14ac:dyDescent="0.25">
      <c r="A123" s="28"/>
      <c r="B123" s="11" t="str">
        <f>CONCATENATE("          ", "6336", " - ", "PROFESSIONAL SERVICES")</f>
        <v xml:space="preserve">          6336 - PROFESSIONAL SERVICES</v>
      </c>
      <c r="C123" s="11"/>
      <c r="D123" s="6"/>
      <c r="E123" s="2"/>
      <c r="F123" s="7">
        <f t="shared" si="45"/>
        <v>0</v>
      </c>
      <c r="G123" s="2"/>
      <c r="H123" s="6">
        <v>0</v>
      </c>
      <c r="I123" s="2"/>
      <c r="J123" s="7">
        <f t="shared" si="46"/>
        <v>0</v>
      </c>
      <c r="K123" s="2"/>
      <c r="L123" s="6">
        <f t="shared" si="47"/>
        <v>0</v>
      </c>
      <c r="M123" s="2"/>
      <c r="N123" s="7">
        <f t="shared" si="48"/>
        <v>0</v>
      </c>
      <c r="O123" s="11"/>
      <c r="P123" s="6"/>
      <c r="Q123" s="2"/>
      <c r="R123" s="7">
        <f t="shared" si="49"/>
        <v>0</v>
      </c>
      <c r="S123" s="2"/>
      <c r="T123" s="6">
        <v>6000</v>
      </c>
      <c r="U123" s="2"/>
      <c r="V123" s="7">
        <f t="shared" si="50"/>
        <v>3.7620149351992927E-3</v>
      </c>
      <c r="W123" s="2"/>
      <c r="X123" s="6">
        <f t="shared" si="51"/>
        <v>-6000</v>
      </c>
      <c r="Y123" s="2"/>
      <c r="Z123" s="7">
        <f t="shared" si="52"/>
        <v>-1</v>
      </c>
    </row>
    <row r="124" spans="1:26" s="29" customFormat="1" outlineLevel="1" collapsed="1" x14ac:dyDescent="0.25">
      <c r="A124" s="27"/>
      <c r="B124" s="14" t="str">
        <f>CONCATENATE("     ","Rent                                              ")</f>
        <v xml:space="preserve">     Rent                                              </v>
      </c>
      <c r="C124" s="14"/>
      <c r="D124" s="1">
        <f>SUM(OSRRefD22_13x_0)</f>
        <v>6900</v>
      </c>
      <c r="E124" s="1"/>
      <c r="F124" s="5">
        <f t="shared" si="45"/>
        <v>6.8418029400119623E-2</v>
      </c>
      <c r="G124" s="1"/>
      <c r="H124" s="1">
        <f>SUM(OSRRefH22_13x_0)</f>
        <v>6900</v>
      </c>
      <c r="I124" s="1"/>
      <c r="J124" s="5">
        <f t="shared" si="46"/>
        <v>2.1565060850976054E-2</v>
      </c>
      <c r="K124" s="1"/>
      <c r="L124" s="1">
        <f t="shared" si="47"/>
        <v>0</v>
      </c>
      <c r="M124" s="1"/>
      <c r="N124" s="5">
        <f t="shared" si="48"/>
        <v>0</v>
      </c>
      <c r="O124" s="14"/>
      <c r="P124" s="1">
        <f>SUM(OSRRefP22_13x_0)</f>
        <v>34500</v>
      </c>
      <c r="Q124" s="1"/>
      <c r="R124" s="5">
        <f t="shared" si="49"/>
        <v>4.2286256852533878E-2</v>
      </c>
      <c r="S124" s="1"/>
      <c r="T124" s="1">
        <f>SUM(OSRRefT22_13x_0)</f>
        <v>34501</v>
      </c>
      <c r="U124" s="1"/>
      <c r="V124" s="5">
        <f t="shared" si="50"/>
        <v>2.1632212879885135E-2</v>
      </c>
      <c r="W124" s="1"/>
      <c r="X124" s="1">
        <f t="shared" si="51"/>
        <v>-1</v>
      </c>
      <c r="Y124" s="1"/>
      <c r="Z124" s="5">
        <f t="shared" si="52"/>
        <v>-2.8984667111098231E-5</v>
      </c>
    </row>
    <row r="125" spans="1:26" s="24" customFormat="1" hidden="1" outlineLevel="2" x14ac:dyDescent="0.25">
      <c r="A125" s="28"/>
      <c r="B125" s="11" t="str">
        <f>CONCATENATE("          ", "6273", " - ", "RENT")</f>
        <v xml:space="preserve">          6273 - RENT</v>
      </c>
      <c r="C125" s="11"/>
      <c r="D125" s="6">
        <v>6900</v>
      </c>
      <c r="E125" s="2"/>
      <c r="F125" s="7">
        <f t="shared" si="45"/>
        <v>6.8418029400119623E-2</v>
      </c>
      <c r="G125" s="2"/>
      <c r="H125" s="6">
        <v>6900</v>
      </c>
      <c r="I125" s="2"/>
      <c r="J125" s="7">
        <f t="shared" si="46"/>
        <v>2.1565060850976054E-2</v>
      </c>
      <c r="K125" s="2"/>
      <c r="L125" s="6">
        <f t="shared" si="47"/>
        <v>0</v>
      </c>
      <c r="M125" s="2"/>
      <c r="N125" s="7">
        <f t="shared" si="48"/>
        <v>0</v>
      </c>
      <c r="O125" s="11"/>
      <c r="P125" s="6">
        <v>34500</v>
      </c>
      <c r="Q125" s="2"/>
      <c r="R125" s="7">
        <f t="shared" si="49"/>
        <v>4.2286256852533878E-2</v>
      </c>
      <c r="S125" s="2"/>
      <c r="T125" s="6">
        <v>34501</v>
      </c>
      <c r="U125" s="2"/>
      <c r="V125" s="7">
        <f t="shared" si="50"/>
        <v>2.1632212879885135E-2</v>
      </c>
      <c r="W125" s="2"/>
      <c r="X125" s="6">
        <f t="shared" si="51"/>
        <v>-1</v>
      </c>
      <c r="Y125" s="2"/>
      <c r="Z125" s="7">
        <f t="shared" si="52"/>
        <v>-2.8984667111098231E-5</v>
      </c>
    </row>
    <row r="126" spans="1:26" s="29" customFormat="1" outlineLevel="1" collapsed="1" x14ac:dyDescent="0.25">
      <c r="A126" s="27"/>
      <c r="B126" s="14" t="str">
        <f>CONCATENATE("     ","Repair and Maintenance                            ")</f>
        <v xml:space="preserve">     Repair and Maintenance                            </v>
      </c>
      <c r="C126" s="14"/>
      <c r="D126" s="1">
        <f>SUM(OSRRefD22_14x_0)</f>
        <v>0</v>
      </c>
      <c r="E126" s="1"/>
      <c r="F126" s="5">
        <f t="shared" si="45"/>
        <v>0</v>
      </c>
      <c r="G126" s="1"/>
      <c r="H126" s="1">
        <f>SUM(OSRRefH22_14x_0)</f>
        <v>150</v>
      </c>
      <c r="I126" s="1"/>
      <c r="J126" s="5">
        <f t="shared" si="46"/>
        <v>4.6880567067339245E-4</v>
      </c>
      <c r="K126" s="1"/>
      <c r="L126" s="1">
        <f t="shared" si="47"/>
        <v>-150</v>
      </c>
      <c r="M126" s="1"/>
      <c r="N126" s="5">
        <f t="shared" si="48"/>
        <v>-1</v>
      </c>
      <c r="O126" s="14"/>
      <c r="P126" s="1">
        <f>SUM(OSRRefP22_14x_0)</f>
        <v>48.21</v>
      </c>
      <c r="Q126" s="1"/>
      <c r="R126" s="5">
        <f t="shared" si="49"/>
        <v>5.9090447619149515E-5</v>
      </c>
      <c r="S126" s="1"/>
      <c r="T126" s="1">
        <f>SUM(OSRRefT22_14x_0)</f>
        <v>1250</v>
      </c>
      <c r="U126" s="1"/>
      <c r="V126" s="5">
        <f t="shared" si="50"/>
        <v>7.8375311149985263E-4</v>
      </c>
      <c r="W126" s="1"/>
      <c r="X126" s="1">
        <f t="shared" si="51"/>
        <v>-1201.79</v>
      </c>
      <c r="Y126" s="1"/>
      <c r="Z126" s="5">
        <f t="shared" si="52"/>
        <v>-0.96143199999999995</v>
      </c>
    </row>
    <row r="127" spans="1:26" s="24" customFormat="1" hidden="1" outlineLevel="2" x14ac:dyDescent="0.25">
      <c r="A127" s="28"/>
      <c r="B127" s="11" t="str">
        <f>CONCATENATE("          ", "6373", " - ", "MAINTENANCE CONTRACTS")</f>
        <v xml:space="preserve">          6373 - MAINTENANCE CONTRACTS</v>
      </c>
      <c r="C127" s="11"/>
      <c r="D127" s="6"/>
      <c r="E127" s="2"/>
      <c r="F127" s="7">
        <f t="shared" si="45"/>
        <v>0</v>
      </c>
      <c r="G127" s="2"/>
      <c r="H127" s="6"/>
      <c r="I127" s="2"/>
      <c r="J127" s="7">
        <f t="shared" si="46"/>
        <v>0</v>
      </c>
      <c r="K127" s="2"/>
      <c r="L127" s="6">
        <f t="shared" si="47"/>
        <v>0</v>
      </c>
      <c r="M127" s="2"/>
      <c r="N127" s="7">
        <f t="shared" si="48"/>
        <v>0</v>
      </c>
      <c r="O127" s="11"/>
      <c r="P127" s="6">
        <v>48.21</v>
      </c>
      <c r="Q127" s="2"/>
      <c r="R127" s="7">
        <f t="shared" si="49"/>
        <v>5.9090447619149515E-5</v>
      </c>
      <c r="S127" s="2"/>
      <c r="T127" s="6"/>
      <c r="U127" s="2"/>
      <c r="V127" s="7">
        <f t="shared" si="50"/>
        <v>0</v>
      </c>
      <c r="W127" s="2"/>
      <c r="X127" s="6">
        <f t="shared" si="51"/>
        <v>48.21</v>
      </c>
      <c r="Y127" s="2"/>
      <c r="Z127" s="7">
        <f t="shared" si="52"/>
        <v>0</v>
      </c>
    </row>
    <row r="128" spans="1:26" s="24" customFormat="1" hidden="1" outlineLevel="2" x14ac:dyDescent="0.25">
      <c r="A128" s="28"/>
      <c r="B128" s="11" t="str">
        <f>CONCATENATE("          ", "6375", " - ", "OUTSIDE REPAIRS &amp; MAINTENANCE")</f>
        <v xml:space="preserve">          6375 - OUTSIDE REPAIRS &amp; MAINTENANCE</v>
      </c>
      <c r="C128" s="11"/>
      <c r="D128" s="6"/>
      <c r="E128" s="2"/>
      <c r="F128" s="7">
        <f t="shared" si="45"/>
        <v>0</v>
      </c>
      <c r="G128" s="2"/>
      <c r="H128" s="6">
        <v>150</v>
      </c>
      <c r="I128" s="2"/>
      <c r="J128" s="7">
        <f t="shared" si="46"/>
        <v>4.6880567067339245E-4</v>
      </c>
      <c r="K128" s="2"/>
      <c r="L128" s="6">
        <f t="shared" si="47"/>
        <v>-150</v>
      </c>
      <c r="M128" s="2"/>
      <c r="N128" s="7">
        <f t="shared" si="48"/>
        <v>-1</v>
      </c>
      <c r="O128" s="11"/>
      <c r="P128" s="6"/>
      <c r="Q128" s="2"/>
      <c r="R128" s="7">
        <f t="shared" si="49"/>
        <v>0</v>
      </c>
      <c r="S128" s="2"/>
      <c r="T128" s="6">
        <v>1250</v>
      </c>
      <c r="U128" s="2"/>
      <c r="V128" s="7">
        <f t="shared" si="50"/>
        <v>7.8375311149985263E-4</v>
      </c>
      <c r="W128" s="2"/>
      <c r="X128" s="6">
        <f t="shared" si="51"/>
        <v>-1250</v>
      </c>
      <c r="Y128" s="2"/>
      <c r="Z128" s="7">
        <f t="shared" si="52"/>
        <v>-1</v>
      </c>
    </row>
    <row r="129" spans="1:26" s="29" customFormat="1" outlineLevel="1" collapsed="1" x14ac:dyDescent="0.25">
      <c r="A129" s="27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1">
        <f>SUM(OSRRefD22_15x_0)</f>
        <v>0</v>
      </c>
      <c r="E129" s="1"/>
      <c r="F129" s="5">
        <f t="shared" ref="F129:F132" si="53">IF(D$12=0,0,D129/D$12)</f>
        <v>0</v>
      </c>
      <c r="G129" s="1"/>
      <c r="H129" s="1">
        <f>SUM(OSRRefH22_15x_0)</f>
        <v>6271</v>
      </c>
      <c r="I129" s="1"/>
      <c r="J129" s="5">
        <f t="shared" ref="J129:J132" si="54">IF(H$12=0,0,H129/H$12)</f>
        <v>1.9599202405285628E-2</v>
      </c>
      <c r="K129" s="1"/>
      <c r="L129" s="1">
        <f t="shared" ref="L129:L132" si="55">+D129-H129</f>
        <v>-6271</v>
      </c>
      <c r="M129" s="1"/>
      <c r="N129" s="5">
        <f t="shared" ref="N129:N132" si="56">IF(H129=0,0,L129/H129)</f>
        <v>-1</v>
      </c>
      <c r="O129" s="14"/>
      <c r="P129" s="1">
        <f>SUM(OSRRefP22_15x_0)</f>
        <v>18411.8</v>
      </c>
      <c r="Q129" s="1"/>
      <c r="R129" s="5">
        <f t="shared" ref="R129:R132" si="57">IF(P$12=0,0,P129/P$12)</f>
        <v>2.2567133446883571E-2</v>
      </c>
      <c r="S129" s="1"/>
      <c r="T129" s="1">
        <f>SUM(OSRRefT22_15x_0)</f>
        <v>31355</v>
      </c>
      <c r="U129" s="1"/>
      <c r="V129" s="5">
        <f t="shared" ref="V129:V132" si="58">IF(T$12=0,0,T129/T$12)</f>
        <v>1.9659663048862304E-2</v>
      </c>
      <c r="W129" s="1"/>
      <c r="X129" s="1">
        <f t="shared" ref="X129:X132" si="59">+P129-T129</f>
        <v>-12943.2</v>
      </c>
      <c r="Y129" s="1"/>
      <c r="Z129" s="5">
        <f t="shared" ref="Z129:Z132" si="60">IF(T129=0,0,X129/T129)</f>
        <v>-0.41279540743103177</v>
      </c>
    </row>
    <row r="130" spans="1:26" s="24" customFormat="1" hidden="1" outlineLevel="2" x14ac:dyDescent="0.25">
      <c r="A130" s="28"/>
      <c r="B130" s="11" t="str">
        <f>CONCATENATE("          ", "6252", " - ", "ROYALTY DUE CSTV")</f>
        <v xml:space="preserve">          6252 - ROYALTY DUE CSTV</v>
      </c>
      <c r="C130" s="11"/>
      <c r="D130" s="6"/>
      <c r="E130" s="2"/>
      <c r="F130" s="7">
        <f t="shared" si="53"/>
        <v>0</v>
      </c>
      <c r="G130" s="2"/>
      <c r="H130" s="6">
        <v>1085</v>
      </c>
      <c r="I130" s="2"/>
      <c r="J130" s="7">
        <f t="shared" si="54"/>
        <v>3.3910276845375386E-3</v>
      </c>
      <c r="K130" s="2"/>
      <c r="L130" s="6">
        <f t="shared" si="55"/>
        <v>-1085</v>
      </c>
      <c r="M130" s="2"/>
      <c r="N130" s="7">
        <f t="shared" si="56"/>
        <v>-1</v>
      </c>
      <c r="O130" s="11"/>
      <c r="P130" s="6"/>
      <c r="Q130" s="2"/>
      <c r="R130" s="7">
        <f t="shared" si="57"/>
        <v>0</v>
      </c>
      <c r="S130" s="2"/>
      <c r="T130" s="6">
        <v>5425</v>
      </c>
      <c r="U130" s="2"/>
      <c r="V130" s="7">
        <f t="shared" si="58"/>
        <v>3.4014885039093607E-3</v>
      </c>
      <c r="W130" s="2"/>
      <c r="X130" s="6">
        <f t="shared" si="59"/>
        <v>-5425</v>
      </c>
      <c r="Y130" s="2"/>
      <c r="Z130" s="7">
        <f t="shared" si="60"/>
        <v>-1</v>
      </c>
    </row>
    <row r="131" spans="1:26" s="24" customFormat="1" hidden="1" outlineLevel="2" x14ac:dyDescent="0.25">
      <c r="A131" s="28"/>
      <c r="B131" s="11" t="str">
        <f>CONCATENATE("          ", "6253", " - ", "ROYALTY DUE ATHLETICS-LRG")</f>
        <v xml:space="preserve">          6253 - ROYALTY DUE ATHLETICS-LRG</v>
      </c>
      <c r="C131" s="11"/>
      <c r="D131" s="6"/>
      <c r="E131" s="2"/>
      <c r="F131" s="7">
        <f t="shared" si="53"/>
        <v>0</v>
      </c>
      <c r="G131" s="2"/>
      <c r="H131" s="6">
        <v>4037</v>
      </c>
      <c r="I131" s="2"/>
      <c r="J131" s="7">
        <f t="shared" si="54"/>
        <v>1.2617123283389903E-2</v>
      </c>
      <c r="K131" s="2"/>
      <c r="L131" s="6">
        <f t="shared" si="55"/>
        <v>-4037</v>
      </c>
      <c r="M131" s="2"/>
      <c r="N131" s="7">
        <f t="shared" si="56"/>
        <v>-1</v>
      </c>
      <c r="O131" s="11"/>
      <c r="P131" s="6">
        <v>18411.8</v>
      </c>
      <c r="Q131" s="2"/>
      <c r="R131" s="7">
        <f t="shared" si="57"/>
        <v>2.2567133446883571E-2</v>
      </c>
      <c r="S131" s="2"/>
      <c r="T131" s="6">
        <v>20185</v>
      </c>
      <c r="U131" s="2"/>
      <c r="V131" s="7">
        <f t="shared" si="58"/>
        <v>1.2656045244499621E-2</v>
      </c>
      <c r="W131" s="2"/>
      <c r="X131" s="6">
        <f t="shared" si="59"/>
        <v>-1773.2000000000007</v>
      </c>
      <c r="Y131" s="2"/>
      <c r="Z131" s="7">
        <f t="shared" si="60"/>
        <v>-8.7847411444141724E-2</v>
      </c>
    </row>
    <row r="132" spans="1:26" s="24" customFormat="1" hidden="1" outlineLevel="2" x14ac:dyDescent="0.25">
      <c r="A132" s="28"/>
      <c r="B132" s="11" t="str">
        <f>CONCATENATE("          ", "6254", " - ", "ROYALTY &amp; COMMISSIONS")</f>
        <v xml:space="preserve">          6254 - ROYALTY &amp; COMMISSIONS</v>
      </c>
      <c r="C132" s="11"/>
      <c r="D132" s="6"/>
      <c r="E132" s="2"/>
      <c r="F132" s="7">
        <f t="shared" si="53"/>
        <v>0</v>
      </c>
      <c r="G132" s="2"/>
      <c r="H132" s="6">
        <v>1149</v>
      </c>
      <c r="I132" s="2"/>
      <c r="J132" s="7">
        <f t="shared" si="54"/>
        <v>3.5910514373581862E-3</v>
      </c>
      <c r="K132" s="2"/>
      <c r="L132" s="6">
        <f t="shared" si="55"/>
        <v>-1149</v>
      </c>
      <c r="M132" s="2"/>
      <c r="N132" s="7">
        <f t="shared" si="56"/>
        <v>-1</v>
      </c>
      <c r="O132" s="11"/>
      <c r="P132" s="6"/>
      <c r="Q132" s="2"/>
      <c r="R132" s="7">
        <f t="shared" si="57"/>
        <v>0</v>
      </c>
      <c r="S132" s="2"/>
      <c r="T132" s="6">
        <v>5745</v>
      </c>
      <c r="U132" s="2"/>
      <c r="V132" s="7">
        <f t="shared" si="58"/>
        <v>3.6021293004533227E-3</v>
      </c>
      <c r="W132" s="2"/>
      <c r="X132" s="6">
        <f t="shared" si="59"/>
        <v>-5745</v>
      </c>
      <c r="Y132" s="2"/>
      <c r="Z132" s="7">
        <f t="shared" si="60"/>
        <v>-1</v>
      </c>
    </row>
    <row r="133" spans="1:26" s="29" customFormat="1" outlineLevel="1" collapsed="1" x14ac:dyDescent="0.25">
      <c r="A133" s="27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SUM(OSRRefD22_16x_0)</f>
        <v>-19.419999999999995</v>
      </c>
      <c r="E133" s="1"/>
      <c r="F133" s="5">
        <f t="shared" ref="F133:F136" si="61">IF(D$12=0,0,D133/D$12)</f>
        <v>-1.9256204796381488E-4</v>
      </c>
      <c r="G133" s="1"/>
      <c r="H133" s="1">
        <f>SUM(OSRRefH22_16x_0)</f>
        <v>155</v>
      </c>
      <c r="I133" s="1"/>
      <c r="J133" s="5">
        <f t="shared" ref="J133:J136" si="62">IF(H$12=0,0,H133/H$12)</f>
        <v>4.8443252636250553E-4</v>
      </c>
      <c r="K133" s="1"/>
      <c r="L133" s="1">
        <f t="shared" ref="L133:L136" si="63">+D133-H133</f>
        <v>-174.42</v>
      </c>
      <c r="M133" s="1"/>
      <c r="N133" s="5">
        <f t="shared" ref="N133:N136" si="64">IF(H133=0,0,L133/H133)</f>
        <v>-1.125290322580645</v>
      </c>
      <c r="O133" s="14"/>
      <c r="P133" s="1">
        <f>SUM(OSRRefP22_16x_0)</f>
        <v>-31.590000000000146</v>
      </c>
      <c r="Q133" s="1"/>
      <c r="R133" s="5">
        <f t="shared" ref="R133:R136" si="65">IF(P$12=0,0,P133/P$12)</f>
        <v>-3.8719503013668153E-5</v>
      </c>
      <c r="S133" s="1"/>
      <c r="T133" s="1">
        <f>SUM(OSRRefT22_16x_0)</f>
        <v>830</v>
      </c>
      <c r="U133" s="1"/>
      <c r="V133" s="5">
        <f t="shared" ref="V133:V136" si="66">IF(T$12=0,0,T133/T$12)</f>
        <v>5.2041206603590216E-4</v>
      </c>
      <c r="W133" s="1"/>
      <c r="X133" s="1">
        <f t="shared" ref="X133:X136" si="67">+P133-T133</f>
        <v>-861.59000000000015</v>
      </c>
      <c r="Y133" s="1"/>
      <c r="Z133" s="5">
        <f t="shared" ref="Z133:Z136" si="68">IF(T133=0,0,X133/T133)</f>
        <v>-1.0380602409638555</v>
      </c>
    </row>
    <row r="134" spans="1:26" s="24" customFormat="1" hidden="1" outlineLevel="2" x14ac:dyDescent="0.25">
      <c r="A134" s="28"/>
      <c r="B134" s="11" t="str">
        <f>CONCATENATE("          ", "6283", " - ", "PLANT SERVICE")</f>
        <v xml:space="preserve">          6283 - PLANT SERVICE</v>
      </c>
      <c r="C134" s="11"/>
      <c r="D134" s="6">
        <v>41.31</v>
      </c>
      <c r="E134" s="2"/>
      <c r="F134" s="7">
        <f t="shared" si="61"/>
        <v>4.0961576732158577E-4</v>
      </c>
      <c r="G134" s="2"/>
      <c r="H134" s="6">
        <v>0</v>
      </c>
      <c r="I134" s="2"/>
      <c r="J134" s="7">
        <f t="shared" si="62"/>
        <v>0</v>
      </c>
      <c r="K134" s="2"/>
      <c r="L134" s="6">
        <f t="shared" si="63"/>
        <v>41.31</v>
      </c>
      <c r="M134" s="2"/>
      <c r="N134" s="7">
        <f t="shared" si="64"/>
        <v>0</v>
      </c>
      <c r="O134" s="11"/>
      <c r="P134" s="6">
        <v>41.31</v>
      </c>
      <c r="Q134" s="2"/>
      <c r="R134" s="7">
        <f t="shared" si="65"/>
        <v>5.0633196248642745E-5</v>
      </c>
      <c r="S134" s="2"/>
      <c r="T134" s="6">
        <v>0</v>
      </c>
      <c r="U134" s="2"/>
      <c r="V134" s="7">
        <f t="shared" si="66"/>
        <v>0</v>
      </c>
      <c r="W134" s="2"/>
      <c r="X134" s="6">
        <f t="shared" si="67"/>
        <v>41.31</v>
      </c>
      <c r="Y134" s="2"/>
      <c r="Z134" s="7">
        <f t="shared" si="68"/>
        <v>0</v>
      </c>
    </row>
    <row r="135" spans="1:26" s="24" customFormat="1" hidden="1" outlineLevel="2" x14ac:dyDescent="0.25">
      <c r="A135" s="28"/>
      <c r="B135" s="11" t="str">
        <f>CONCATENATE("          ", "6284", " - ", "TRASH REMOVAL EXPENSE")</f>
        <v xml:space="preserve">          6284 - TRASH REMOVAL EXPENSE</v>
      </c>
      <c r="C135" s="11"/>
      <c r="D135" s="6"/>
      <c r="E135" s="2"/>
      <c r="F135" s="7">
        <f t="shared" si="61"/>
        <v>0</v>
      </c>
      <c r="G135" s="2"/>
      <c r="H135" s="6">
        <v>55</v>
      </c>
      <c r="I135" s="2"/>
      <c r="J135" s="7">
        <f t="shared" si="62"/>
        <v>1.718954125802439E-4</v>
      </c>
      <c r="K135" s="2"/>
      <c r="L135" s="6">
        <f t="shared" si="63"/>
        <v>-55</v>
      </c>
      <c r="M135" s="2"/>
      <c r="N135" s="7">
        <f t="shared" si="64"/>
        <v>-1</v>
      </c>
      <c r="O135" s="11"/>
      <c r="P135" s="6">
        <v>585.29999999999995</v>
      </c>
      <c r="Q135" s="2"/>
      <c r="R135" s="7">
        <f t="shared" si="65"/>
        <v>7.1739554016777033E-4</v>
      </c>
      <c r="S135" s="2"/>
      <c r="T135" s="6">
        <v>330</v>
      </c>
      <c r="U135" s="2"/>
      <c r="V135" s="7">
        <f t="shared" si="66"/>
        <v>2.0691082143596109E-4</v>
      </c>
      <c r="W135" s="2"/>
      <c r="X135" s="6">
        <f t="shared" si="67"/>
        <v>255.29999999999995</v>
      </c>
      <c r="Y135" s="2"/>
      <c r="Z135" s="7">
        <f t="shared" si="68"/>
        <v>0.77363636363636346</v>
      </c>
    </row>
    <row r="136" spans="1:26" s="24" customFormat="1" hidden="1" outlineLevel="2" x14ac:dyDescent="0.25">
      <c r="A136" s="28"/>
      <c r="B136" s="11" t="str">
        <f>CONCATENATE("          ", "6285", " - ", "JANITORIAL SERVICES")</f>
        <v xml:space="preserve">          6285 - JANITORIAL SERVICES</v>
      </c>
      <c r="C136" s="11"/>
      <c r="D136" s="6">
        <v>-60.73</v>
      </c>
      <c r="E136" s="2"/>
      <c r="F136" s="7">
        <f t="shared" si="61"/>
        <v>-6.0217781528540068E-4</v>
      </c>
      <c r="G136" s="2"/>
      <c r="H136" s="6">
        <v>100</v>
      </c>
      <c r="I136" s="2"/>
      <c r="J136" s="7">
        <f t="shared" si="62"/>
        <v>3.1253711378226165E-4</v>
      </c>
      <c r="K136" s="2"/>
      <c r="L136" s="6">
        <f t="shared" si="63"/>
        <v>-160.72999999999999</v>
      </c>
      <c r="M136" s="2"/>
      <c r="N136" s="7">
        <f t="shared" si="64"/>
        <v>-1.6073</v>
      </c>
      <c r="O136" s="11"/>
      <c r="P136" s="6">
        <v>-658.2</v>
      </c>
      <c r="Q136" s="2"/>
      <c r="R136" s="7">
        <f t="shared" si="65"/>
        <v>-8.0674823943008116E-4</v>
      </c>
      <c r="S136" s="2"/>
      <c r="T136" s="6">
        <v>500</v>
      </c>
      <c r="U136" s="2"/>
      <c r="V136" s="7">
        <f t="shared" si="66"/>
        <v>3.1350124459994104E-4</v>
      </c>
      <c r="W136" s="2"/>
      <c r="X136" s="6">
        <f t="shared" si="67"/>
        <v>-1158.2</v>
      </c>
      <c r="Y136" s="2"/>
      <c r="Z136" s="7">
        <f t="shared" si="68"/>
        <v>-2.3164000000000002</v>
      </c>
    </row>
    <row r="137" spans="1:26" s="29" customFormat="1" outlineLevel="1" collapsed="1" x14ac:dyDescent="0.25">
      <c r="A137" s="27"/>
      <c r="B137" s="14" t="str">
        <f>CONCATENATE("     ","Subscriptions &amp; Dues                              ")</f>
        <v xml:space="preserve">     Subscriptions &amp; Dues                              </v>
      </c>
      <c r="C137" s="14"/>
      <c r="D137" s="1">
        <f>SUM(OSRRefD22_17x_0)</f>
        <v>-441</v>
      </c>
      <c r="E137" s="1"/>
      <c r="F137" s="5">
        <f t="shared" ref="F137:F139" si="69">IF(D$12=0,0,D137/D$12)</f>
        <v>-4.3728044877467762E-3</v>
      </c>
      <c r="G137" s="1"/>
      <c r="H137" s="1">
        <f>SUM(OSRRefH22_17x_0)</f>
        <v>0</v>
      </c>
      <c r="I137" s="1"/>
      <c r="J137" s="5">
        <f t="shared" ref="J137:J139" si="70">IF(H$12=0,0,H137/H$12)</f>
        <v>0</v>
      </c>
      <c r="K137" s="1"/>
      <c r="L137" s="1">
        <f t="shared" ref="L137:L139" si="71">+D137-H137</f>
        <v>-441</v>
      </c>
      <c r="M137" s="1"/>
      <c r="N137" s="5">
        <f t="shared" ref="N137:N139" si="72">IF(H137=0,0,L137/H137)</f>
        <v>0</v>
      </c>
      <c r="O137" s="14"/>
      <c r="P137" s="1">
        <f>SUM(OSRRefP22_17x_0)</f>
        <v>-215.27</v>
      </c>
      <c r="Q137" s="1"/>
      <c r="R137" s="5">
        <f t="shared" ref="R137:R139" si="73">IF(P$12=0,0,P137/P$12)</f>
        <v>-2.6385398587376721E-4</v>
      </c>
      <c r="S137" s="1"/>
      <c r="T137" s="1">
        <f>SUM(OSRRefT22_17x_0)</f>
        <v>1395</v>
      </c>
      <c r="U137" s="1"/>
      <c r="V137" s="5">
        <f t="shared" ref="V137:V139" si="74">IF(T$12=0,0,T137/T$12)</f>
        <v>8.7466847243383554E-4</v>
      </c>
      <c r="W137" s="1"/>
      <c r="X137" s="1">
        <f t="shared" ref="X137:X139" si="75">+P137-T137</f>
        <v>-1610.27</v>
      </c>
      <c r="Y137" s="1"/>
      <c r="Z137" s="5">
        <f t="shared" ref="Z137:Z139" si="76">IF(T137=0,0,X137/T137)</f>
        <v>-1.1543154121863799</v>
      </c>
    </row>
    <row r="138" spans="1:26" s="24" customFormat="1" hidden="1" outlineLevel="2" x14ac:dyDescent="0.25">
      <c r="A138" s="28"/>
      <c r="B138" s="11" t="str">
        <f>CONCATENATE("          ", "6258", " - ", "MEMBERSHIP DUES")</f>
        <v xml:space="preserve">          6258 - MEMBERSHIP DUES</v>
      </c>
      <c r="C138" s="11"/>
      <c r="D138" s="6">
        <v>-441</v>
      </c>
      <c r="E138" s="2"/>
      <c r="F138" s="7">
        <f t="shared" si="69"/>
        <v>-4.3728044877467762E-3</v>
      </c>
      <c r="G138" s="2"/>
      <c r="H138" s="6">
        <v>0</v>
      </c>
      <c r="I138" s="2"/>
      <c r="J138" s="7">
        <f t="shared" si="70"/>
        <v>0</v>
      </c>
      <c r="K138" s="2"/>
      <c r="L138" s="6">
        <f t="shared" si="71"/>
        <v>-441</v>
      </c>
      <c r="M138" s="2"/>
      <c r="N138" s="7">
        <f t="shared" si="72"/>
        <v>0</v>
      </c>
      <c r="O138" s="11"/>
      <c r="P138" s="6">
        <v>-441</v>
      </c>
      <c r="Q138" s="2"/>
      <c r="R138" s="7">
        <f t="shared" si="73"/>
        <v>-5.4052867454978091E-4</v>
      </c>
      <c r="S138" s="2"/>
      <c r="T138" s="6">
        <v>1395</v>
      </c>
      <c r="U138" s="2"/>
      <c r="V138" s="7">
        <f t="shared" si="74"/>
        <v>8.7466847243383554E-4</v>
      </c>
      <c r="W138" s="2"/>
      <c r="X138" s="6">
        <f t="shared" si="75"/>
        <v>-1836</v>
      </c>
      <c r="Y138" s="2"/>
      <c r="Z138" s="7">
        <f t="shared" si="76"/>
        <v>-1.3161290322580645</v>
      </c>
    </row>
    <row r="139" spans="1:26" s="24" customFormat="1" hidden="1" outlineLevel="2" x14ac:dyDescent="0.25">
      <c r="A139" s="28"/>
      <c r="B139" s="11" t="str">
        <f>CONCATENATE("          ", "6275", " - ", "SUBSCRIPTIONS")</f>
        <v xml:space="preserve">          6275 - SUBSCRIPTIONS</v>
      </c>
      <c r="C139" s="11"/>
      <c r="D139" s="6"/>
      <c r="E139" s="2"/>
      <c r="F139" s="7">
        <f t="shared" si="69"/>
        <v>0</v>
      </c>
      <c r="G139" s="2"/>
      <c r="H139" s="6">
        <v>0</v>
      </c>
      <c r="I139" s="2"/>
      <c r="J139" s="7">
        <f t="shared" si="70"/>
        <v>0</v>
      </c>
      <c r="K139" s="2"/>
      <c r="L139" s="6">
        <f t="shared" si="71"/>
        <v>0</v>
      </c>
      <c r="M139" s="2"/>
      <c r="N139" s="7">
        <f t="shared" si="72"/>
        <v>0</v>
      </c>
      <c r="O139" s="11"/>
      <c r="P139" s="6">
        <v>225.73</v>
      </c>
      <c r="Q139" s="2"/>
      <c r="R139" s="7">
        <f t="shared" si="73"/>
        <v>2.766746886760137E-4</v>
      </c>
      <c r="S139" s="2"/>
      <c r="T139" s="6">
        <v>0</v>
      </c>
      <c r="U139" s="2"/>
      <c r="V139" s="7">
        <f t="shared" si="74"/>
        <v>0</v>
      </c>
      <c r="W139" s="2"/>
      <c r="X139" s="6">
        <f t="shared" si="75"/>
        <v>225.73</v>
      </c>
      <c r="Y139" s="2"/>
      <c r="Z139" s="7">
        <f t="shared" si="76"/>
        <v>0</v>
      </c>
    </row>
    <row r="140" spans="1:26" s="29" customFormat="1" outlineLevel="1" collapsed="1" x14ac:dyDescent="0.25">
      <c r="A140" s="27"/>
      <c r="B140" s="14" t="str">
        <f>CONCATENATE("     ","Supplies                                          ")</f>
        <v xml:space="preserve">     Supplies                                          </v>
      </c>
      <c r="C140" s="14"/>
      <c r="D140" s="1">
        <f>SUM(OSRRefD22_18x_0)</f>
        <v>417.95</v>
      </c>
      <c r="E140" s="1"/>
      <c r="F140" s="5">
        <f t="shared" ref="F140:F148" si="77">IF(D$12=0,0,D140/D$12)</f>
        <v>4.144248606924637E-3</v>
      </c>
      <c r="G140" s="1"/>
      <c r="H140" s="1">
        <f>SUM(OSRRefH22_18x_0)</f>
        <v>610</v>
      </c>
      <c r="I140" s="1"/>
      <c r="J140" s="5">
        <f t="shared" ref="J140:J148" si="78">IF(H$12=0,0,H140/H$12)</f>
        <v>1.9064763940717961E-3</v>
      </c>
      <c r="K140" s="1"/>
      <c r="L140" s="1">
        <f t="shared" ref="L140:L148" si="79">+D140-H140</f>
        <v>-192.05</v>
      </c>
      <c r="M140" s="1"/>
      <c r="N140" s="5">
        <f t="shared" ref="N140:N148" si="80">IF(H140=0,0,L140/H140)</f>
        <v>-0.31483606557377053</v>
      </c>
      <c r="O140" s="14"/>
      <c r="P140" s="1">
        <f>SUM(OSRRefP22_18x_0)</f>
        <v>2186.96</v>
      </c>
      <c r="Q140" s="1"/>
      <c r="R140" s="5">
        <f t="shared" ref="R140:R148" si="81">IF(P$12=0,0,P140/P$12)</f>
        <v>2.6805319503251449E-3</v>
      </c>
      <c r="S140" s="1"/>
      <c r="T140" s="1">
        <f>SUM(OSRRefT22_18x_0)</f>
        <v>3150</v>
      </c>
      <c r="U140" s="1"/>
      <c r="V140" s="5">
        <f t="shared" ref="V140:V148" si="82">IF(T$12=0,0,T140/T$12)</f>
        <v>1.9750578409796285E-3</v>
      </c>
      <c r="W140" s="1"/>
      <c r="X140" s="1">
        <f t="shared" ref="X140:X148" si="83">+P140-T140</f>
        <v>-963.04</v>
      </c>
      <c r="Y140" s="1"/>
      <c r="Z140" s="5">
        <f t="shared" ref="Z140:Z148" si="84">IF(T140=0,0,X140/T140)</f>
        <v>-0.30572698412698412</v>
      </c>
    </row>
    <row r="141" spans="1:26" s="24" customFormat="1" hidden="1" outlineLevel="2" x14ac:dyDescent="0.25">
      <c r="A141" s="28"/>
      <c r="B141" s="11" t="str">
        <f>CONCATENATE("          ", "6234", " - ", "EXPENDABLE SUPPLIES &amp; EQUIPMEN")</f>
        <v xml:space="preserve">          6234 - EXPENDABLE SUPPLIES &amp; EQUIPMEN</v>
      </c>
      <c r="C141" s="11"/>
      <c r="D141" s="6"/>
      <c r="E141" s="2"/>
      <c r="F141" s="7">
        <f t="shared" si="77"/>
        <v>0</v>
      </c>
      <c r="G141" s="2"/>
      <c r="H141" s="6">
        <v>50</v>
      </c>
      <c r="I141" s="2"/>
      <c r="J141" s="7">
        <f t="shared" si="78"/>
        <v>1.5626855689113083E-4</v>
      </c>
      <c r="K141" s="2"/>
      <c r="L141" s="6">
        <f t="shared" si="79"/>
        <v>-50</v>
      </c>
      <c r="M141" s="2"/>
      <c r="N141" s="7">
        <f t="shared" si="80"/>
        <v>-1</v>
      </c>
      <c r="O141" s="11"/>
      <c r="P141" s="6"/>
      <c r="Q141" s="2"/>
      <c r="R141" s="7">
        <f t="shared" si="81"/>
        <v>0</v>
      </c>
      <c r="S141" s="2"/>
      <c r="T141" s="6">
        <v>250</v>
      </c>
      <c r="U141" s="2"/>
      <c r="V141" s="7">
        <f t="shared" si="82"/>
        <v>1.5675062229997052E-4</v>
      </c>
      <c r="W141" s="2"/>
      <c r="X141" s="6">
        <f t="shared" si="83"/>
        <v>-250</v>
      </c>
      <c r="Y141" s="2"/>
      <c r="Z141" s="7">
        <f t="shared" si="84"/>
        <v>-1</v>
      </c>
    </row>
    <row r="142" spans="1:26" s="24" customFormat="1" hidden="1" outlineLevel="2" x14ac:dyDescent="0.25">
      <c r="A142" s="28"/>
      <c r="B142" s="11" t="str">
        <f>CONCATENATE("          ", "6235", " - ", "COVID-19 EXPENSES")</f>
        <v xml:space="preserve">          6235 - COVID-19 EXPENSES</v>
      </c>
      <c r="C142" s="11"/>
      <c r="D142" s="6">
        <v>65.05</v>
      </c>
      <c r="E142" s="2"/>
      <c r="F142" s="7">
        <f t="shared" si="77"/>
        <v>6.4501345108373639E-4</v>
      </c>
      <c r="G142" s="2"/>
      <c r="H142" s="6">
        <v>200</v>
      </c>
      <c r="I142" s="2"/>
      <c r="J142" s="7">
        <f t="shared" si="78"/>
        <v>6.2507422756452331E-4</v>
      </c>
      <c r="K142" s="2"/>
      <c r="L142" s="6">
        <f t="shared" si="79"/>
        <v>-134.94999999999999</v>
      </c>
      <c r="M142" s="2"/>
      <c r="N142" s="7">
        <f t="shared" si="80"/>
        <v>-0.67474999999999996</v>
      </c>
      <c r="O142" s="11"/>
      <c r="P142" s="6">
        <v>1292.1300000000001</v>
      </c>
      <c r="Q142" s="2"/>
      <c r="R142" s="7">
        <f t="shared" si="81"/>
        <v>1.5837490164308582E-3</v>
      </c>
      <c r="S142" s="2"/>
      <c r="T142" s="6">
        <v>1000</v>
      </c>
      <c r="U142" s="2"/>
      <c r="V142" s="7">
        <f t="shared" si="82"/>
        <v>6.2700248919988209E-4</v>
      </c>
      <c r="W142" s="2"/>
      <c r="X142" s="6">
        <f t="shared" si="83"/>
        <v>292.13000000000011</v>
      </c>
      <c r="Y142" s="2"/>
      <c r="Z142" s="7">
        <f t="shared" si="84"/>
        <v>0.29213000000000011</v>
      </c>
    </row>
    <row r="143" spans="1:26" s="24" customFormat="1" hidden="1" outlineLevel="2" x14ac:dyDescent="0.25">
      <c r="A143" s="28"/>
      <c r="B143" s="11" t="str">
        <f>CONCATENATE("          ", "6237", " - ", "JANITORIAL SUPPLIES")</f>
        <v xml:space="preserve">          6237 - JANITORIAL SUPPLIES</v>
      </c>
      <c r="C143" s="11"/>
      <c r="D143" s="6"/>
      <c r="E143" s="2"/>
      <c r="F143" s="7">
        <f t="shared" si="77"/>
        <v>0</v>
      </c>
      <c r="G143" s="2"/>
      <c r="H143" s="6">
        <v>60</v>
      </c>
      <c r="I143" s="2"/>
      <c r="J143" s="7">
        <f t="shared" si="78"/>
        <v>1.8752226826935698E-4</v>
      </c>
      <c r="K143" s="2"/>
      <c r="L143" s="6">
        <f t="shared" si="79"/>
        <v>-60</v>
      </c>
      <c r="M143" s="2"/>
      <c r="N143" s="7">
        <f t="shared" si="80"/>
        <v>-1</v>
      </c>
      <c r="O143" s="11"/>
      <c r="P143" s="6">
        <v>191.74</v>
      </c>
      <c r="Q143" s="2"/>
      <c r="R143" s="7">
        <f t="shared" si="81"/>
        <v>2.3501353301173466E-4</v>
      </c>
      <c r="S143" s="2"/>
      <c r="T143" s="6">
        <v>350</v>
      </c>
      <c r="U143" s="2"/>
      <c r="V143" s="7">
        <f t="shared" si="82"/>
        <v>2.1945087121995875E-4</v>
      </c>
      <c r="W143" s="2"/>
      <c r="X143" s="6">
        <f t="shared" si="83"/>
        <v>-158.26</v>
      </c>
      <c r="Y143" s="2"/>
      <c r="Z143" s="7">
        <f t="shared" si="84"/>
        <v>-0.45217142857142856</v>
      </c>
    </row>
    <row r="144" spans="1:26" s="24" customFormat="1" hidden="1" outlineLevel="2" x14ac:dyDescent="0.25">
      <c r="A144" s="28"/>
      <c r="B144" s="11" t="str">
        <f>CONCATENATE("          ", "6241", " - ", "OFFICE EXPENSE")</f>
        <v xml:space="preserve">          6241 - OFFICE EXPENSE</v>
      </c>
      <c r="C144" s="11"/>
      <c r="D144" s="6">
        <v>352.9</v>
      </c>
      <c r="E144" s="2"/>
      <c r="F144" s="7">
        <f t="shared" si="77"/>
        <v>3.4992351558409004E-3</v>
      </c>
      <c r="G144" s="2"/>
      <c r="H144" s="6">
        <v>125</v>
      </c>
      <c r="I144" s="2"/>
      <c r="J144" s="7">
        <f t="shared" si="78"/>
        <v>3.9067139222782708E-4</v>
      </c>
      <c r="K144" s="2"/>
      <c r="L144" s="6">
        <f t="shared" si="79"/>
        <v>227.89999999999998</v>
      </c>
      <c r="M144" s="2"/>
      <c r="N144" s="7">
        <f t="shared" si="80"/>
        <v>1.8231999999999997</v>
      </c>
      <c r="O144" s="11"/>
      <c r="P144" s="6">
        <v>516.38</v>
      </c>
      <c r="Q144" s="2"/>
      <c r="R144" s="7">
        <f t="shared" si="81"/>
        <v>6.3292108155105632E-4</v>
      </c>
      <c r="S144" s="2"/>
      <c r="T144" s="6">
        <v>625</v>
      </c>
      <c r="U144" s="2"/>
      <c r="V144" s="7">
        <f t="shared" si="82"/>
        <v>3.9187655574992632E-4</v>
      </c>
      <c r="W144" s="2"/>
      <c r="X144" s="6">
        <f t="shared" si="83"/>
        <v>-108.62</v>
      </c>
      <c r="Y144" s="2"/>
      <c r="Z144" s="7">
        <f t="shared" si="84"/>
        <v>-0.173792</v>
      </c>
    </row>
    <row r="145" spans="1:26" s="24" customFormat="1" hidden="1" outlineLevel="2" x14ac:dyDescent="0.25">
      <c r="A145" s="28"/>
      <c r="B145" s="11" t="str">
        <f>CONCATENATE("          ", "6243", " - ", "PAPER SUPPLIES")</f>
        <v xml:space="preserve">          6243 - PAPER SUPPLIES</v>
      </c>
      <c r="C145" s="11"/>
      <c r="D145" s="6"/>
      <c r="E145" s="2"/>
      <c r="F145" s="7">
        <f t="shared" si="77"/>
        <v>0</v>
      </c>
      <c r="G145" s="2"/>
      <c r="H145" s="6">
        <v>50</v>
      </c>
      <c r="I145" s="2"/>
      <c r="J145" s="7">
        <f t="shared" si="78"/>
        <v>1.5626855689113083E-4</v>
      </c>
      <c r="K145" s="2"/>
      <c r="L145" s="6">
        <f t="shared" si="79"/>
        <v>-50</v>
      </c>
      <c r="M145" s="2"/>
      <c r="N145" s="7">
        <f t="shared" si="80"/>
        <v>-1</v>
      </c>
      <c r="O145" s="11"/>
      <c r="P145" s="6"/>
      <c r="Q145" s="2"/>
      <c r="R145" s="7">
        <f t="shared" si="81"/>
        <v>0</v>
      </c>
      <c r="S145" s="2"/>
      <c r="T145" s="6">
        <v>250</v>
      </c>
      <c r="U145" s="2"/>
      <c r="V145" s="7">
        <f t="shared" si="82"/>
        <v>1.5675062229997052E-4</v>
      </c>
      <c r="W145" s="2"/>
      <c r="X145" s="6">
        <f t="shared" si="83"/>
        <v>-250</v>
      </c>
      <c r="Y145" s="2"/>
      <c r="Z145" s="7">
        <f t="shared" si="84"/>
        <v>-1</v>
      </c>
    </row>
    <row r="146" spans="1:26" s="24" customFormat="1" hidden="1" outlineLevel="2" x14ac:dyDescent="0.25">
      <c r="A146" s="28"/>
      <c r="B146" s="11" t="str">
        <f>CONCATENATE("          ", "6244", " - ", "SAFETY SUPPLY EXPENSE")</f>
        <v xml:space="preserve">          6244 - SAFETY SUPPLY EXPENSE</v>
      </c>
      <c r="C146" s="11"/>
      <c r="D146" s="6"/>
      <c r="E146" s="2"/>
      <c r="F146" s="7">
        <f t="shared" si="77"/>
        <v>0</v>
      </c>
      <c r="G146" s="2"/>
      <c r="H146" s="6">
        <v>0</v>
      </c>
      <c r="I146" s="2"/>
      <c r="J146" s="7">
        <f t="shared" si="78"/>
        <v>0</v>
      </c>
      <c r="K146" s="2"/>
      <c r="L146" s="6">
        <f t="shared" si="79"/>
        <v>0</v>
      </c>
      <c r="M146" s="2"/>
      <c r="N146" s="7">
        <f t="shared" si="80"/>
        <v>0</v>
      </c>
      <c r="O146" s="11"/>
      <c r="P146" s="6"/>
      <c r="Q146" s="2"/>
      <c r="R146" s="7">
        <f t="shared" si="81"/>
        <v>0</v>
      </c>
      <c r="S146" s="2"/>
      <c r="T146" s="6">
        <v>50</v>
      </c>
      <c r="U146" s="2"/>
      <c r="V146" s="7">
        <f t="shared" si="82"/>
        <v>3.1350124459994106E-5</v>
      </c>
      <c r="W146" s="2"/>
      <c r="X146" s="6">
        <f t="shared" si="83"/>
        <v>-50</v>
      </c>
      <c r="Y146" s="2"/>
      <c r="Z146" s="7">
        <f t="shared" si="84"/>
        <v>-1</v>
      </c>
    </row>
    <row r="147" spans="1:26" s="24" customFormat="1" hidden="1" outlineLevel="2" x14ac:dyDescent="0.25">
      <c r="A147" s="28"/>
      <c r="B147" s="11" t="str">
        <f>CONCATENATE("          ", "6245", " - ", "PRINTING")</f>
        <v xml:space="preserve">          6245 - PRINTING</v>
      </c>
      <c r="C147" s="11"/>
      <c r="D147" s="6"/>
      <c r="E147" s="2"/>
      <c r="F147" s="7">
        <f t="shared" si="77"/>
        <v>0</v>
      </c>
      <c r="G147" s="2"/>
      <c r="H147" s="6">
        <v>50</v>
      </c>
      <c r="I147" s="2"/>
      <c r="J147" s="7">
        <f t="shared" si="78"/>
        <v>1.5626855689113083E-4</v>
      </c>
      <c r="K147" s="2"/>
      <c r="L147" s="6">
        <f t="shared" si="79"/>
        <v>-50</v>
      </c>
      <c r="M147" s="2"/>
      <c r="N147" s="7">
        <f t="shared" si="80"/>
        <v>-1</v>
      </c>
      <c r="O147" s="11"/>
      <c r="P147" s="6"/>
      <c r="Q147" s="2"/>
      <c r="R147" s="7">
        <f t="shared" si="81"/>
        <v>0</v>
      </c>
      <c r="S147" s="2"/>
      <c r="T147" s="6">
        <v>250</v>
      </c>
      <c r="U147" s="2"/>
      <c r="V147" s="7">
        <f t="shared" si="82"/>
        <v>1.5675062229997052E-4</v>
      </c>
      <c r="W147" s="2"/>
      <c r="X147" s="6">
        <f t="shared" si="83"/>
        <v>-250</v>
      </c>
      <c r="Y147" s="2"/>
      <c r="Z147" s="7">
        <f t="shared" si="84"/>
        <v>-1</v>
      </c>
    </row>
    <row r="148" spans="1:26" s="24" customFormat="1" hidden="1" outlineLevel="2" x14ac:dyDescent="0.25">
      <c r="A148" s="28"/>
      <c r="B148" s="11" t="str">
        <f>CONCATENATE("          ", "6247", " - ", "STORE SUPPLIES")</f>
        <v xml:space="preserve">          6247 - STORE SUPPLIES</v>
      </c>
      <c r="C148" s="11"/>
      <c r="D148" s="6"/>
      <c r="E148" s="2"/>
      <c r="F148" s="7">
        <f t="shared" si="77"/>
        <v>0</v>
      </c>
      <c r="G148" s="2"/>
      <c r="H148" s="6">
        <v>75</v>
      </c>
      <c r="I148" s="2"/>
      <c r="J148" s="7">
        <f t="shared" si="78"/>
        <v>2.3440283533669623E-4</v>
      </c>
      <c r="K148" s="2"/>
      <c r="L148" s="6">
        <f t="shared" si="79"/>
        <v>-75</v>
      </c>
      <c r="M148" s="2"/>
      <c r="N148" s="7">
        <f t="shared" si="80"/>
        <v>-1</v>
      </c>
      <c r="O148" s="11"/>
      <c r="P148" s="6">
        <v>186.71</v>
      </c>
      <c r="Q148" s="2"/>
      <c r="R148" s="7">
        <f t="shared" si="81"/>
        <v>2.2884831933149568E-4</v>
      </c>
      <c r="S148" s="2"/>
      <c r="T148" s="6">
        <v>375</v>
      </c>
      <c r="U148" s="2"/>
      <c r="V148" s="7">
        <f t="shared" si="82"/>
        <v>2.351259334499558E-4</v>
      </c>
      <c r="W148" s="2"/>
      <c r="X148" s="6">
        <f t="shared" si="83"/>
        <v>-188.29</v>
      </c>
      <c r="Y148" s="2"/>
      <c r="Z148" s="7">
        <f t="shared" si="84"/>
        <v>-0.50210666666666659</v>
      </c>
    </row>
    <row r="149" spans="1:26" s="29" customFormat="1" outlineLevel="1" collapsed="1" x14ac:dyDescent="0.25">
      <c r="A149" s="27"/>
      <c r="B149" s="14" t="str">
        <f>CONCATENATE("     ","Telephone/Data Lines                              ")</f>
        <v xml:space="preserve">     Telephone/Data Lines                              </v>
      </c>
      <c r="C149" s="14"/>
      <c r="D149" s="1">
        <f>SUM(OSRRefD22_19x_0)</f>
        <v>563.03</v>
      </c>
      <c r="E149" s="1"/>
      <c r="F149" s="5">
        <f t="shared" ref="F149:F151" si="85">IF(D$12=0,0,D149/D$12)</f>
        <v>5.5828120424854131E-3</v>
      </c>
      <c r="G149" s="1"/>
      <c r="H149" s="1">
        <f>SUM(OSRRefH22_19x_0)</f>
        <v>830</v>
      </c>
      <c r="I149" s="1"/>
      <c r="J149" s="5">
        <f t="shared" ref="J149:J151" si="86">IF(H$12=0,0,H149/H$12)</f>
        <v>2.5940580443927718E-3</v>
      </c>
      <c r="K149" s="1"/>
      <c r="L149" s="1">
        <f t="shared" ref="L149:L151" si="87">+D149-H149</f>
        <v>-266.97000000000003</v>
      </c>
      <c r="M149" s="1"/>
      <c r="N149" s="5">
        <f t="shared" ref="N149:N151" si="88">IF(H149=0,0,L149/H149)</f>
        <v>-0.32165060240963861</v>
      </c>
      <c r="O149" s="14"/>
      <c r="P149" s="1">
        <f>SUM(OSRRefP22_19x_0)</f>
        <v>3936.12</v>
      </c>
      <c r="Q149" s="1"/>
      <c r="R149" s="5">
        <f t="shared" ref="R149:R151" si="89">IF(P$12=0,0,P149/P$12)</f>
        <v>4.8244574296346567E-3</v>
      </c>
      <c r="S149" s="1"/>
      <c r="T149" s="1">
        <f>SUM(OSRRefT22_19x_0)</f>
        <v>4150</v>
      </c>
      <c r="U149" s="1"/>
      <c r="V149" s="5">
        <f t="shared" ref="V149:V151" si="90">IF(T$12=0,0,T149/T$12)</f>
        <v>2.6020603301795107E-3</v>
      </c>
      <c r="W149" s="1"/>
      <c r="X149" s="1">
        <f t="shared" ref="X149:X151" si="91">+P149-T149</f>
        <v>-213.88000000000011</v>
      </c>
      <c r="Y149" s="1"/>
      <c r="Z149" s="5">
        <f t="shared" ref="Z149:Z151" si="92">IF(T149=0,0,X149/T149)</f>
        <v>-5.1537349397590387E-2</v>
      </c>
    </row>
    <row r="150" spans="1:26" s="24" customFormat="1" hidden="1" outlineLevel="2" x14ac:dyDescent="0.25">
      <c r="A150" s="28"/>
      <c r="B150" s="11" t="str">
        <f>CONCATENATE("          ", "6303", " - ", "DATA PHONE LINES")</f>
        <v xml:space="preserve">          6303 - DATA PHONE LINES</v>
      </c>
      <c r="C150" s="11"/>
      <c r="D150" s="6"/>
      <c r="E150" s="2"/>
      <c r="F150" s="7">
        <f t="shared" si="85"/>
        <v>0</v>
      </c>
      <c r="G150" s="2"/>
      <c r="H150" s="6">
        <v>230</v>
      </c>
      <c r="I150" s="2"/>
      <c r="J150" s="7">
        <f t="shared" si="86"/>
        <v>7.1883536169920176E-4</v>
      </c>
      <c r="K150" s="2"/>
      <c r="L150" s="6">
        <f t="shared" si="87"/>
        <v>-230</v>
      </c>
      <c r="M150" s="2"/>
      <c r="N150" s="7">
        <f t="shared" si="88"/>
        <v>-1</v>
      </c>
      <c r="O150" s="11"/>
      <c r="P150" s="6"/>
      <c r="Q150" s="2"/>
      <c r="R150" s="7">
        <f t="shared" si="89"/>
        <v>0</v>
      </c>
      <c r="S150" s="2"/>
      <c r="T150" s="6">
        <v>1150</v>
      </c>
      <c r="U150" s="2"/>
      <c r="V150" s="7">
        <f t="shared" si="90"/>
        <v>7.2105286257986444E-4</v>
      </c>
      <c r="W150" s="2"/>
      <c r="X150" s="6">
        <f t="shared" si="91"/>
        <v>-1150</v>
      </c>
      <c r="Y150" s="2"/>
      <c r="Z150" s="7">
        <f t="shared" si="92"/>
        <v>-1</v>
      </c>
    </row>
    <row r="151" spans="1:26" s="24" customFormat="1" hidden="1" outlineLevel="2" x14ac:dyDescent="0.25">
      <c r="A151" s="28"/>
      <c r="B151" s="11" t="str">
        <f>CONCATENATE("          ", "6309", " - ", "TELEPHONE")</f>
        <v xml:space="preserve">          6309 - TELEPHONE</v>
      </c>
      <c r="C151" s="11"/>
      <c r="D151" s="6">
        <v>563.03</v>
      </c>
      <c r="E151" s="2"/>
      <c r="F151" s="7">
        <f t="shared" si="85"/>
        <v>5.5828120424854131E-3</v>
      </c>
      <c r="G151" s="2"/>
      <c r="H151" s="6">
        <v>600</v>
      </c>
      <c r="I151" s="2"/>
      <c r="J151" s="7">
        <f t="shared" si="86"/>
        <v>1.8752226826935698E-3</v>
      </c>
      <c r="K151" s="2"/>
      <c r="L151" s="6">
        <f t="shared" si="87"/>
        <v>-36.970000000000027</v>
      </c>
      <c r="M151" s="2"/>
      <c r="N151" s="7">
        <f t="shared" si="88"/>
        <v>-6.1616666666666715E-2</v>
      </c>
      <c r="O151" s="11"/>
      <c r="P151" s="6">
        <v>3936.12</v>
      </c>
      <c r="Q151" s="2"/>
      <c r="R151" s="7">
        <f t="shared" si="89"/>
        <v>4.8244574296346567E-3</v>
      </c>
      <c r="S151" s="2"/>
      <c r="T151" s="6">
        <v>3000</v>
      </c>
      <c r="U151" s="2"/>
      <c r="V151" s="7">
        <f t="shared" si="90"/>
        <v>1.8810074675996464E-3</v>
      </c>
      <c r="W151" s="2"/>
      <c r="X151" s="6">
        <f t="shared" si="91"/>
        <v>936.11999999999989</v>
      </c>
      <c r="Y151" s="2"/>
      <c r="Z151" s="7">
        <f t="shared" si="92"/>
        <v>0.31203999999999998</v>
      </c>
    </row>
    <row r="152" spans="1:26" s="29" customFormat="1" outlineLevel="1" collapsed="1" x14ac:dyDescent="0.25">
      <c r="A152" s="27"/>
      <c r="B152" s="14" t="str">
        <f>CONCATENATE("     ","Training                                          ")</f>
        <v xml:space="preserve">     Training                                          </v>
      </c>
      <c r="C152" s="14"/>
      <c r="D152" s="1">
        <f>SUM(OSRRefD22_20x_0)</f>
        <v>0</v>
      </c>
      <c r="E152" s="1"/>
      <c r="F152" s="5">
        <f t="shared" ref="F152:F156" si="93">IF(D$12=0,0,D152/D$12)</f>
        <v>0</v>
      </c>
      <c r="G152" s="1"/>
      <c r="H152" s="1">
        <f>SUM(OSRRefH22_20x_0)</f>
        <v>0</v>
      </c>
      <c r="I152" s="1"/>
      <c r="J152" s="5">
        <f t="shared" ref="J152:J156" si="94">IF(H$12=0,0,H152/H$12)</f>
        <v>0</v>
      </c>
      <c r="K152" s="1"/>
      <c r="L152" s="1">
        <f t="shared" ref="L152:L156" si="95">+D152-H152</f>
        <v>0</v>
      </c>
      <c r="M152" s="1"/>
      <c r="N152" s="5">
        <f t="shared" ref="N152:N156" si="96">IF(H152=0,0,L152/H152)</f>
        <v>0</v>
      </c>
      <c r="O152" s="14"/>
      <c r="P152" s="1">
        <f>SUM(OSRRefP22_20x_0)</f>
        <v>0</v>
      </c>
      <c r="Q152" s="1"/>
      <c r="R152" s="5">
        <f t="shared" ref="R152:R156" si="97">IF(P$12=0,0,P152/P$12)</f>
        <v>0</v>
      </c>
      <c r="S152" s="1"/>
      <c r="T152" s="1">
        <f>SUM(OSRRefT22_20x_0)</f>
        <v>0</v>
      </c>
      <c r="U152" s="1"/>
      <c r="V152" s="5">
        <f t="shared" ref="V152:V156" si="98">IF(T$12=0,0,T152/T$12)</f>
        <v>0</v>
      </c>
      <c r="W152" s="1"/>
      <c r="X152" s="1">
        <f t="shared" ref="X152:X156" si="99">+P152-T152</f>
        <v>0</v>
      </c>
      <c r="Y152" s="1"/>
      <c r="Z152" s="5">
        <f t="shared" ref="Z152:Z156" si="100">IF(T152=0,0,X152/T152)</f>
        <v>0</v>
      </c>
    </row>
    <row r="153" spans="1:26" s="24" customFormat="1" hidden="1" outlineLevel="2" x14ac:dyDescent="0.25">
      <c r="A153" s="28"/>
      <c r="B153" s="11" t="str">
        <f>CONCATENATE("          ", "6376", " - ", "TRAINING")</f>
        <v xml:space="preserve">          6376 - TRAINING</v>
      </c>
      <c r="C153" s="11"/>
      <c r="D153" s="6"/>
      <c r="E153" s="2"/>
      <c r="F153" s="7">
        <f t="shared" si="93"/>
        <v>0</v>
      </c>
      <c r="G153" s="2"/>
      <c r="H153" s="6">
        <v>0</v>
      </c>
      <c r="I153" s="2"/>
      <c r="J153" s="7">
        <f t="shared" si="94"/>
        <v>0</v>
      </c>
      <c r="K153" s="2"/>
      <c r="L153" s="6">
        <f t="shared" si="95"/>
        <v>0</v>
      </c>
      <c r="M153" s="2"/>
      <c r="N153" s="7">
        <f t="shared" si="96"/>
        <v>0</v>
      </c>
      <c r="O153" s="11"/>
      <c r="P153" s="6"/>
      <c r="Q153" s="2"/>
      <c r="R153" s="7">
        <f t="shared" si="97"/>
        <v>0</v>
      </c>
      <c r="S153" s="2"/>
      <c r="T153" s="6">
        <v>0</v>
      </c>
      <c r="U153" s="2"/>
      <c r="V153" s="7">
        <f t="shared" si="98"/>
        <v>0</v>
      </c>
      <c r="W153" s="2"/>
      <c r="X153" s="6">
        <f t="shared" si="99"/>
        <v>0</v>
      </c>
      <c r="Y153" s="2"/>
      <c r="Z153" s="7">
        <f t="shared" si="100"/>
        <v>0</v>
      </c>
    </row>
    <row r="154" spans="1:26" s="29" customFormat="1" outlineLevel="1" collapsed="1" x14ac:dyDescent="0.25">
      <c r="A154" s="27"/>
      <c r="B154" s="14" t="str">
        <f>CONCATENATE("     ","Travel                                            ")</f>
        <v xml:space="preserve">     Travel                                            </v>
      </c>
      <c r="C154" s="14"/>
      <c r="D154" s="1">
        <f>SUM(OSRRefD22_21x_0)</f>
        <v>0</v>
      </c>
      <c r="E154" s="1"/>
      <c r="F154" s="5">
        <f t="shared" si="93"/>
        <v>0</v>
      </c>
      <c r="G154" s="1"/>
      <c r="H154" s="1">
        <f>SUM(OSRRefH22_21x_0)</f>
        <v>50</v>
      </c>
      <c r="I154" s="1"/>
      <c r="J154" s="5">
        <f t="shared" si="94"/>
        <v>1.5626855689113083E-4</v>
      </c>
      <c r="K154" s="1"/>
      <c r="L154" s="1">
        <f t="shared" si="95"/>
        <v>-50</v>
      </c>
      <c r="M154" s="1"/>
      <c r="N154" s="5">
        <f t="shared" si="96"/>
        <v>-1</v>
      </c>
      <c r="O154" s="14"/>
      <c r="P154" s="1">
        <f>SUM(OSRRefP22_21x_0)</f>
        <v>321.88</v>
      </c>
      <c r="Q154" s="1"/>
      <c r="R154" s="5">
        <f t="shared" si="97"/>
        <v>3.9452464799111898E-4</v>
      </c>
      <c r="S154" s="1"/>
      <c r="T154" s="1">
        <f>SUM(OSRRefT22_21x_0)</f>
        <v>250</v>
      </c>
      <c r="U154" s="1"/>
      <c r="V154" s="5">
        <f t="shared" si="98"/>
        <v>1.5675062229997052E-4</v>
      </c>
      <c r="W154" s="1"/>
      <c r="X154" s="1">
        <f t="shared" si="99"/>
        <v>71.88</v>
      </c>
      <c r="Y154" s="1"/>
      <c r="Z154" s="5">
        <f t="shared" si="100"/>
        <v>0.28752</v>
      </c>
    </row>
    <row r="155" spans="1:26" s="24" customFormat="1" hidden="1" outlineLevel="2" x14ac:dyDescent="0.25">
      <c r="A155" s="28"/>
      <c r="B155" s="11" t="str">
        <f>CONCATENATE("          ", "6294", " - ", "TRAVEL OPERATIONAL")</f>
        <v xml:space="preserve">          6294 - TRAVEL OPERATIONAL</v>
      </c>
      <c r="C155" s="11"/>
      <c r="D155" s="6"/>
      <c r="E155" s="2"/>
      <c r="F155" s="7">
        <f t="shared" si="93"/>
        <v>0</v>
      </c>
      <c r="G155" s="2"/>
      <c r="H155" s="6">
        <v>25</v>
      </c>
      <c r="I155" s="2"/>
      <c r="J155" s="7">
        <f t="shared" si="94"/>
        <v>7.8134278445565414E-5</v>
      </c>
      <c r="K155" s="2"/>
      <c r="L155" s="6">
        <f t="shared" si="95"/>
        <v>-25</v>
      </c>
      <c r="M155" s="2"/>
      <c r="N155" s="7">
        <f t="shared" si="96"/>
        <v>-1</v>
      </c>
      <c r="O155" s="11"/>
      <c r="P155" s="6">
        <v>321.88</v>
      </c>
      <c r="Q155" s="2"/>
      <c r="R155" s="7">
        <f t="shared" si="97"/>
        <v>3.9452464799111898E-4</v>
      </c>
      <c r="S155" s="2"/>
      <c r="T155" s="6">
        <v>125</v>
      </c>
      <c r="U155" s="2"/>
      <c r="V155" s="7">
        <f t="shared" si="98"/>
        <v>7.8375311149985261E-5</v>
      </c>
      <c r="W155" s="2"/>
      <c r="X155" s="6">
        <f t="shared" si="99"/>
        <v>196.88</v>
      </c>
      <c r="Y155" s="2"/>
      <c r="Z155" s="7">
        <f t="shared" si="100"/>
        <v>1.57504</v>
      </c>
    </row>
    <row r="156" spans="1:26" s="24" customFormat="1" hidden="1" outlineLevel="2" x14ac:dyDescent="0.25">
      <c r="A156" s="28"/>
      <c r="B156" s="11" t="str">
        <f>CONCATENATE("          ", "6298", " - ", "VEHICLE MILEAGE")</f>
        <v xml:space="preserve">          6298 - VEHICLE MILEAGE</v>
      </c>
      <c r="C156" s="11"/>
      <c r="D156" s="6"/>
      <c r="E156" s="2"/>
      <c r="F156" s="7">
        <f t="shared" si="93"/>
        <v>0</v>
      </c>
      <c r="G156" s="2"/>
      <c r="H156" s="6">
        <v>25</v>
      </c>
      <c r="I156" s="2"/>
      <c r="J156" s="7">
        <f t="shared" si="94"/>
        <v>7.8134278445565414E-5</v>
      </c>
      <c r="K156" s="2"/>
      <c r="L156" s="6">
        <f t="shared" si="95"/>
        <v>-25</v>
      </c>
      <c r="M156" s="2"/>
      <c r="N156" s="7">
        <f t="shared" si="96"/>
        <v>-1</v>
      </c>
      <c r="O156" s="11"/>
      <c r="P156" s="6"/>
      <c r="Q156" s="2"/>
      <c r="R156" s="7">
        <f t="shared" si="97"/>
        <v>0</v>
      </c>
      <c r="S156" s="2"/>
      <c r="T156" s="6">
        <v>125</v>
      </c>
      <c r="U156" s="2"/>
      <c r="V156" s="7">
        <f t="shared" si="98"/>
        <v>7.8375311149985261E-5</v>
      </c>
      <c r="W156" s="2"/>
      <c r="X156" s="6">
        <f t="shared" si="99"/>
        <v>-125</v>
      </c>
      <c r="Y156" s="2"/>
      <c r="Z156" s="7">
        <f t="shared" si="100"/>
        <v>-1</v>
      </c>
    </row>
    <row r="157" spans="1:26" s="29" customFormat="1" outlineLevel="1" collapsed="1" x14ac:dyDescent="0.25">
      <c r="A157" s="27"/>
      <c r="B157" s="14" t="str">
        <f>CONCATENATE("     ","Utilities                                         ")</f>
        <v xml:space="preserve">     Utilities                                         </v>
      </c>
      <c r="C157" s="14"/>
      <c r="D157" s="1">
        <f>SUM(OSRRefD22_22x_0)</f>
        <v>17.38</v>
      </c>
      <c r="E157" s="1"/>
      <c r="F157" s="5">
        <f t="shared" ref="F157:F158" si="101">IF(D$12=0,0,D157/D$12)</f>
        <v>1.7233410883682305E-4</v>
      </c>
      <c r="G157" s="1"/>
      <c r="H157" s="1">
        <f>SUM(OSRRefH22_22x_0)</f>
        <v>105</v>
      </c>
      <c r="I157" s="1"/>
      <c r="J157" s="5">
        <f t="shared" ref="J157:J158" si="102">IF(H$12=0,0,H157/H$12)</f>
        <v>3.2816396947137473E-4</v>
      </c>
      <c r="K157" s="1"/>
      <c r="L157" s="1">
        <f t="shared" ref="L157:L158" si="103">+D157-H157</f>
        <v>-87.62</v>
      </c>
      <c r="M157" s="1"/>
      <c r="N157" s="5">
        <f t="shared" ref="N157:N158" si="104">IF(H157=0,0,L157/H157)</f>
        <v>-0.83447619047619048</v>
      </c>
      <c r="O157" s="14"/>
      <c r="P157" s="1">
        <f>SUM(OSRRefP22_22x_0)</f>
        <v>101.79</v>
      </c>
      <c r="Q157" s="1"/>
      <c r="R157" s="5">
        <f t="shared" ref="R157:R158" si="105">IF(P$12=0,0,P157/P$12)</f>
        <v>1.2476284304404126E-4</v>
      </c>
      <c r="S157" s="1"/>
      <c r="T157" s="1">
        <f>SUM(OSRRefT22_22x_0)</f>
        <v>525</v>
      </c>
      <c r="U157" s="1"/>
      <c r="V157" s="5">
        <f t="shared" ref="V157:V158" si="106">IF(T$12=0,0,T157/T$12)</f>
        <v>3.2917630682993812E-4</v>
      </c>
      <c r="W157" s="1"/>
      <c r="X157" s="1">
        <f t="shared" ref="X157:X158" si="107">+P157-T157</f>
        <v>-423.21</v>
      </c>
      <c r="Y157" s="1"/>
      <c r="Z157" s="5">
        <f t="shared" ref="Z157:Z158" si="108">IF(T157=0,0,X157/T157)</f>
        <v>-0.80611428571428567</v>
      </c>
    </row>
    <row r="158" spans="1:26" s="24" customFormat="1" hidden="1" outlineLevel="2" x14ac:dyDescent="0.25">
      <c r="A158" s="28"/>
      <c r="B158" s="11" t="str">
        <f>CONCATENATE("          ", "6274", " - ", "UTILITIES")</f>
        <v xml:space="preserve">          6274 - UTILITIES</v>
      </c>
      <c r="C158" s="11"/>
      <c r="D158" s="6">
        <v>17.38</v>
      </c>
      <c r="E158" s="2"/>
      <c r="F158" s="7">
        <f t="shared" si="101"/>
        <v>1.7233410883682305E-4</v>
      </c>
      <c r="G158" s="2"/>
      <c r="H158" s="6">
        <v>105</v>
      </c>
      <c r="I158" s="2"/>
      <c r="J158" s="7">
        <f t="shared" si="102"/>
        <v>3.2816396947137473E-4</v>
      </c>
      <c r="K158" s="2"/>
      <c r="L158" s="6">
        <f t="shared" si="103"/>
        <v>-87.62</v>
      </c>
      <c r="M158" s="2"/>
      <c r="N158" s="7">
        <f t="shared" si="104"/>
        <v>-0.83447619047619048</v>
      </c>
      <c r="O158" s="11"/>
      <c r="P158" s="6">
        <v>101.79</v>
      </c>
      <c r="Q158" s="2"/>
      <c r="R158" s="7">
        <f t="shared" si="105"/>
        <v>1.2476284304404126E-4</v>
      </c>
      <c r="S158" s="2"/>
      <c r="T158" s="6">
        <v>525</v>
      </c>
      <c r="U158" s="2"/>
      <c r="V158" s="7">
        <f t="shared" si="106"/>
        <v>3.2917630682993812E-4</v>
      </c>
      <c r="W158" s="2"/>
      <c r="X158" s="6">
        <f t="shared" si="107"/>
        <v>-423.21</v>
      </c>
      <c r="Y158" s="2"/>
      <c r="Z158" s="7">
        <f t="shared" si="108"/>
        <v>-0.80611428571428567</v>
      </c>
    </row>
    <row r="159" spans="1:26" s="62" customFormat="1" x14ac:dyDescent="0.25">
      <c r="A159" s="36"/>
      <c r="B159" s="36"/>
      <c r="C159" s="36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6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collapsed="1" x14ac:dyDescent="0.25">
      <c r="A160" s="10"/>
      <c r="B160" s="26" t="s">
        <v>0</v>
      </c>
      <c r="C160" s="10"/>
      <c r="D160" s="4">
        <f>SUM(OSRRefD25x_0)</f>
        <v>14886.94</v>
      </c>
      <c r="E160" s="4"/>
      <c r="F160" s="12">
        <f t="shared" ref="F160:F163" si="109">IF(D$12=0,0,D160/D$12)</f>
        <v>0.1476137824054807</v>
      </c>
      <c r="G160" s="4"/>
      <c r="H160" s="4">
        <f>SUM(OSRRefH25x_0)</f>
        <v>8075</v>
      </c>
      <c r="I160" s="4"/>
      <c r="J160" s="12">
        <f t="shared" ref="J160:J163" si="110">IF(H$12=0,0,H160/H$12)</f>
        <v>2.5237371937917627E-2</v>
      </c>
      <c r="K160" s="4"/>
      <c r="L160" s="4">
        <f t="shared" ref="L160:L163" si="111">+D160-H160</f>
        <v>6811.9400000000005</v>
      </c>
      <c r="M160" s="4"/>
      <c r="N160" s="12">
        <f t="shared" ref="N160:N163" si="112">IF(H160=0,0,L160/H160)</f>
        <v>0.84358390092879265</v>
      </c>
      <c r="O160" s="10"/>
      <c r="P160" s="4">
        <f>SUM(OSRRefP25x_0)</f>
        <v>207874.45</v>
      </c>
      <c r="Q160" s="4"/>
      <c r="R160" s="12">
        <f t="shared" ref="R160:R163" si="113">IF(P$12=0,0,P160/P$12)</f>
        <v>0.25478934451533947</v>
      </c>
      <c r="S160" s="4"/>
      <c r="T160" s="4">
        <f>SUM(OSRRefT25x_0)</f>
        <v>40375</v>
      </c>
      <c r="U160" s="4"/>
      <c r="V160" s="12">
        <f t="shared" ref="V160:V163" si="114">IF(T$12=0,0,T160/T$12)</f>
        <v>2.531522550144524E-2</v>
      </c>
      <c r="W160" s="4"/>
      <c r="X160" s="4">
        <f t="shared" ref="X160:X163" si="115">+P160-T160</f>
        <v>167499.45000000001</v>
      </c>
      <c r="Y160" s="4"/>
      <c r="Z160" s="12">
        <f t="shared" ref="Z160:Z163" si="116">IF(T160=0,0,X160/T160)</f>
        <v>4.1485931888544894</v>
      </c>
    </row>
    <row r="161" spans="1:26" s="24" customFormat="1" hidden="1" outlineLevel="1" x14ac:dyDescent="0.25">
      <c r="A161" s="51"/>
      <c r="B161" s="11" t="str">
        <f>CONCATENATE("          ", "9150", " - ", "MISC. INCOME")</f>
        <v xml:space="preserve">          9150 - MISC. INCOME</v>
      </c>
      <c r="C161" s="11"/>
      <c r="D161" s="2">
        <f>--145</f>
        <v>145</v>
      </c>
      <c r="E161" s="2"/>
      <c r="F161" s="22">
        <f t="shared" si="109"/>
        <v>1.4377701830459921E-3</v>
      </c>
      <c r="G161" s="2"/>
      <c r="H161" s="2">
        <v>8075</v>
      </c>
      <c r="I161" s="2"/>
      <c r="J161" s="22">
        <f t="shared" si="110"/>
        <v>2.5237371937917627E-2</v>
      </c>
      <c r="K161" s="2"/>
      <c r="L161" s="2">
        <f t="shared" si="111"/>
        <v>-7930</v>
      </c>
      <c r="M161" s="2"/>
      <c r="N161" s="22">
        <f t="shared" si="112"/>
        <v>-0.98204334365325074</v>
      </c>
      <c r="O161" s="11"/>
      <c r="P161" s="2">
        <f>--32468.61</f>
        <v>32468.61</v>
      </c>
      <c r="Q161" s="2"/>
      <c r="R161" s="22">
        <f t="shared" si="113"/>
        <v>3.9796405278398554E-2</v>
      </c>
      <c r="S161" s="2"/>
      <c r="T161" s="2">
        <v>40375</v>
      </c>
      <c r="U161" s="2"/>
      <c r="V161" s="22">
        <f t="shared" si="114"/>
        <v>2.531522550144524E-2</v>
      </c>
      <c r="W161" s="2"/>
      <c r="X161" s="2">
        <f t="shared" si="115"/>
        <v>-7906.3899999999994</v>
      </c>
      <c r="Y161" s="2"/>
      <c r="Z161" s="22">
        <f t="shared" si="116"/>
        <v>-0.19582390092879257</v>
      </c>
    </row>
    <row r="162" spans="1:26" s="24" customFormat="1" hidden="1" outlineLevel="1" x14ac:dyDescent="0.25">
      <c r="A162" s="51"/>
      <c r="B162" s="11" t="str">
        <f>CONCATENATE("          ", "9151", " - ", "MISC. INCOME")</f>
        <v xml:space="preserve">          9151 - MISC. INCOME</v>
      </c>
      <c r="C162" s="11"/>
      <c r="D162" s="2">
        <f>0</f>
        <v>0</v>
      </c>
      <c r="E162" s="2"/>
      <c r="F162" s="22">
        <f t="shared" si="109"/>
        <v>0</v>
      </c>
      <c r="G162" s="2"/>
      <c r="H162" s="2">
        <v>0</v>
      </c>
      <c r="I162" s="2"/>
      <c r="J162" s="22">
        <f t="shared" si="110"/>
        <v>0</v>
      </c>
      <c r="K162" s="2"/>
      <c r="L162" s="2">
        <f t="shared" si="111"/>
        <v>0</v>
      </c>
      <c r="M162" s="2"/>
      <c r="N162" s="22">
        <f t="shared" si="112"/>
        <v>0</v>
      </c>
      <c r="O162" s="11"/>
      <c r="P162" s="2">
        <f>0</f>
        <v>0</v>
      </c>
      <c r="Q162" s="2"/>
      <c r="R162" s="22">
        <f t="shared" si="113"/>
        <v>0</v>
      </c>
      <c r="S162" s="2"/>
      <c r="T162" s="2">
        <v>0</v>
      </c>
      <c r="U162" s="2"/>
      <c r="V162" s="22">
        <f t="shared" si="114"/>
        <v>0</v>
      </c>
      <c r="W162" s="2"/>
      <c r="X162" s="2">
        <f t="shared" si="115"/>
        <v>0</v>
      </c>
      <c r="Y162" s="2"/>
      <c r="Z162" s="22">
        <f t="shared" si="116"/>
        <v>0</v>
      </c>
    </row>
    <row r="163" spans="1:26" s="24" customFormat="1" hidden="1" outlineLevel="1" x14ac:dyDescent="0.25">
      <c r="A163" s="51"/>
      <c r="B163" s="11" t="str">
        <f>CONCATENATE("          ", "9163", " - ", "MISC. INCOME")</f>
        <v xml:space="preserve">          9163 - MISC. INCOME</v>
      </c>
      <c r="C163" s="11"/>
      <c r="D163" s="2">
        <f>--14741.94</f>
        <v>14741.94</v>
      </c>
      <c r="E163" s="2"/>
      <c r="F163" s="22">
        <f t="shared" si="109"/>
        <v>0.1461760122224347</v>
      </c>
      <c r="G163" s="2"/>
      <c r="H163" s="2"/>
      <c r="I163" s="2"/>
      <c r="J163" s="22">
        <f t="shared" si="110"/>
        <v>0</v>
      </c>
      <c r="K163" s="2"/>
      <c r="L163" s="2">
        <f t="shared" si="111"/>
        <v>14741.94</v>
      </c>
      <c r="M163" s="2"/>
      <c r="N163" s="22">
        <f t="shared" si="112"/>
        <v>0</v>
      </c>
      <c r="O163" s="11"/>
      <c r="P163" s="2">
        <f>--175405.84</f>
        <v>175405.84</v>
      </c>
      <c r="Q163" s="2"/>
      <c r="R163" s="22">
        <f t="shared" si="113"/>
        <v>0.21499293923694091</v>
      </c>
      <c r="S163" s="2"/>
      <c r="T163" s="2"/>
      <c r="U163" s="2"/>
      <c r="V163" s="22">
        <f t="shared" si="114"/>
        <v>0</v>
      </c>
      <c r="W163" s="2"/>
      <c r="X163" s="2">
        <f t="shared" si="115"/>
        <v>175405.84</v>
      </c>
      <c r="Y163" s="2"/>
      <c r="Z163" s="22">
        <f t="shared" si="116"/>
        <v>0</v>
      </c>
    </row>
    <row r="164" spans="1:26" x14ac:dyDescent="0.2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25">
      <c r="A165" s="10"/>
      <c r="B165" s="25" t="s">
        <v>3</v>
      </c>
      <c r="C165" s="25"/>
      <c r="D165" s="21">
        <f>+D76-D78+D160</f>
        <v>4607.2500000000418</v>
      </c>
      <c r="E165" s="13"/>
      <c r="F165" s="20">
        <f>IF(D$12=0,0,D165/D$12)</f>
        <v>4.5683908109232466E-2</v>
      </c>
      <c r="G165" s="13"/>
      <c r="H165" s="21">
        <f>+H76-H78+H160</f>
        <v>62450.178473076943</v>
      </c>
      <c r="I165" s="13"/>
      <c r="J165" s="20">
        <f>IF(H$12=0,0,H165/H$12)</f>
        <v>0.19517998535162595</v>
      </c>
      <c r="K165" s="16"/>
      <c r="L165" s="21">
        <f>+D165-H165</f>
        <v>-57842.9284730769</v>
      </c>
      <c r="M165" s="16"/>
      <c r="N165" s="20">
        <f>IF(H165=0,0,L165/H165)</f>
        <v>-0.92622519082173183</v>
      </c>
      <c r="O165" s="26"/>
      <c r="P165" s="21">
        <f>+P76-P78+P160</f>
        <v>207273.20000000013</v>
      </c>
      <c r="Q165" s="13"/>
      <c r="R165" s="20">
        <f>IF(P$12=0,0,P165/P$12)</f>
        <v>0.25405239924193129</v>
      </c>
      <c r="S165" s="13"/>
      <c r="T165" s="21">
        <f>+T76-T78+T160</f>
        <v>277832.61403192312</v>
      </c>
      <c r="U165" s="13"/>
      <c r="V165" s="20">
        <f>IF(T$12=0,0,T165/T$12)</f>
        <v>0.1742017405789259</v>
      </c>
      <c r="W165" s="16"/>
      <c r="X165" s="21">
        <f>+P165-T165</f>
        <v>-70559.414031922992</v>
      </c>
      <c r="Y165" s="16"/>
      <c r="Z165" s="20">
        <f>IF(T165=0,0,X165/T165)</f>
        <v>-0.25396375539919758</v>
      </c>
    </row>
    <row r="166" spans="1:26" x14ac:dyDescent="0.25">
      <c r="A166" s="9"/>
      <c r="B166" s="10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52"/>
      <c r="B167" s="10" t="s">
        <v>14</v>
      </c>
      <c r="C167" s="10"/>
      <c r="D167" s="4">
        <v>-25246.720000000001</v>
      </c>
      <c r="E167" s="4"/>
      <c r="F167" s="12">
        <f>IF(D$12=0,0,D167/D$12)</f>
        <v>-0.25033780162559249</v>
      </c>
      <c r="G167" s="4"/>
      <c r="H167" s="4">
        <v>75718</v>
      </c>
      <c r="I167" s="4"/>
      <c r="J167" s="12">
        <f>IF(H$12=0,0,H167/H$12)</f>
        <v>0.23664685181365286</v>
      </c>
      <c r="K167" s="4"/>
      <c r="L167" s="4">
        <f>+D167-H167</f>
        <v>-100964.72</v>
      </c>
      <c r="M167" s="4"/>
      <c r="N167" s="12">
        <f>IF(H167=0,0,L167/H167)</f>
        <v>-1.3334308882960459</v>
      </c>
      <c r="O167" s="10"/>
      <c r="P167" s="4">
        <v>129641.43</v>
      </c>
      <c r="Q167" s="4"/>
      <c r="R167" s="12">
        <f>IF(P$12=0,0,P167/P$12)</f>
        <v>0.15890002341187801</v>
      </c>
      <c r="S167" s="4"/>
      <c r="T167" s="4">
        <v>284449</v>
      </c>
      <c r="U167" s="4"/>
      <c r="V167" s="12">
        <f>IF(T$12=0,0,T167/T$12)</f>
        <v>0.17835023105041728</v>
      </c>
      <c r="W167" s="4"/>
      <c r="X167" s="4">
        <f>+P167-T167</f>
        <v>-154807.57</v>
      </c>
      <c r="Y167" s="4"/>
      <c r="Z167" s="12">
        <f>IF(T167=0,0,X167/T167)</f>
        <v>-0.54423664699120056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.75" thickBot="1" x14ac:dyDescent="0.3">
      <c r="A169" s="10"/>
      <c r="B169" s="25" t="s">
        <v>4</v>
      </c>
      <c r="C169" s="25"/>
      <c r="D169" s="31">
        <f>+D165-D167</f>
        <v>29853.970000000045</v>
      </c>
      <c r="E169" s="13"/>
      <c r="F169" s="34">
        <f>IF(D$12=0,0,D169/D$12)</f>
        <v>0.29602170973482494</v>
      </c>
      <c r="G169" s="13"/>
      <c r="H169" s="31">
        <f>+H165-H167</f>
        <v>-13267.821526923057</v>
      </c>
      <c r="I169" s="13"/>
      <c r="J169" s="34">
        <f>IF(H$12=0,0,H169/H$12)</f>
        <v>-4.1466866462026915E-2</v>
      </c>
      <c r="K169" s="16"/>
      <c r="L169" s="31">
        <f>D169-H169</f>
        <v>43121.791526923102</v>
      </c>
      <c r="M169" s="16"/>
      <c r="N169" s="34">
        <f>IF(H169=0,0,L169/H169)</f>
        <v>-3.2501033752542106</v>
      </c>
      <c r="O169" s="26"/>
      <c r="P169" s="31">
        <f>+P165-P167</f>
        <v>77631.770000000135</v>
      </c>
      <c r="Q169" s="13"/>
      <c r="R169" s="34">
        <f>IF(P$12=0,0,P169/P$12)</f>
        <v>9.5152375830053329E-2</v>
      </c>
      <c r="S169" s="13"/>
      <c r="T169" s="31">
        <f>+T165-T167</f>
        <v>-6616.3859680768801</v>
      </c>
      <c r="U169" s="13"/>
      <c r="V169" s="34">
        <f>IF(T$12=0,0,T169/T$12)</f>
        <v>-4.1484904714913758E-3</v>
      </c>
      <c r="W169" s="16"/>
      <c r="X169" s="31">
        <f>P169-T169</f>
        <v>84248.155968077015</v>
      </c>
      <c r="Y169" s="16"/>
      <c r="Z169" s="34">
        <f>IF(T169=0,0,X169/T169)</f>
        <v>-12.733258968651825</v>
      </c>
    </row>
    <row r="170" spans="1:26" ht="15.75" thickTop="1" x14ac:dyDescent="0.2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x14ac:dyDescent="0.25">
      <c r="A171" s="9"/>
      <c r="B171" s="9"/>
      <c r="C171" s="9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.75" thickBot="1" x14ac:dyDescent="0.3">
      <c r="A172" s="10"/>
      <c r="B172" s="25" t="s">
        <v>5</v>
      </c>
      <c r="C172" s="25"/>
      <c r="D172" s="33">
        <f>SUM(D169:D171)</f>
        <v>29853.970000000045</v>
      </c>
      <c r="E172" s="13"/>
      <c r="F172" s="30">
        <f>IF(D$12=0,0,D172/D$12)</f>
        <v>0.29602170973482494</v>
      </c>
      <c r="G172" s="13"/>
      <c r="H172" s="33">
        <f>SUM(H169:H171)</f>
        <v>-13267.821526923057</v>
      </c>
      <c r="I172" s="13"/>
      <c r="J172" s="30">
        <f>IF(H$12=0,0,H172/H$12)</f>
        <v>-4.1466866462026915E-2</v>
      </c>
      <c r="K172" s="16"/>
      <c r="L172" s="33">
        <f>+D172-H172</f>
        <v>43121.791526923102</v>
      </c>
      <c r="M172" s="16"/>
      <c r="N172" s="30">
        <f>IF(H172=0,0,L172/H172)</f>
        <v>-3.2501033752542106</v>
      </c>
      <c r="O172" s="26"/>
      <c r="P172" s="33">
        <f>SUM(P169:P171)</f>
        <v>77631.770000000135</v>
      </c>
      <c r="Q172" s="13"/>
      <c r="R172" s="30">
        <f>IF(P$12=0,0,P172/P$12)</f>
        <v>9.5152375830053329E-2</v>
      </c>
      <c r="S172" s="13"/>
      <c r="T172" s="33">
        <f>SUM(T169:T171)</f>
        <v>-6616.3859680768801</v>
      </c>
      <c r="U172" s="13"/>
      <c r="V172" s="30">
        <f>IF(T$12=0,0,T172/T$12)</f>
        <v>-4.1484904714913758E-3</v>
      </c>
      <c r="W172" s="16"/>
      <c r="X172" s="33">
        <f>+P172-T172</f>
        <v>84248.155968077015</v>
      </c>
      <c r="Y172" s="16"/>
      <c r="Z172" s="30">
        <f>IF(T172=0,0,X172/T172)</f>
        <v>-12.733258968651825</v>
      </c>
    </row>
    <row r="173" spans="1:26" ht="15.75" thickTop="1" x14ac:dyDescent="0.25">
      <c r="A173" s="9"/>
      <c r="C173" s="9"/>
      <c r="D173" s="18"/>
      <c r="E173" s="18"/>
      <c r="G173" s="18"/>
      <c r="H173" s="18"/>
      <c r="I173" s="18"/>
      <c r="J173" s="43"/>
      <c r="K173" s="18"/>
      <c r="L173" s="18"/>
      <c r="M173" s="18"/>
      <c r="P173" s="18"/>
      <c r="Q173" s="18"/>
      <c r="R173" s="43"/>
      <c r="S173" s="18"/>
      <c r="T173" s="18"/>
      <c r="U173" s="18"/>
      <c r="V173" s="43"/>
      <c r="W173" s="18"/>
      <c r="X173" s="18"/>
    </row>
    <row r="174" spans="1:26" x14ac:dyDescent="0.25">
      <c r="A174" s="9"/>
      <c r="B174" s="55">
        <v>44174.679142627312</v>
      </c>
      <c r="D174" s="18"/>
      <c r="E174" s="18"/>
      <c r="G174" s="18"/>
      <c r="H174" s="18"/>
      <c r="I174" s="18"/>
      <c r="J174" s="43"/>
      <c r="K174" s="18"/>
      <c r="L174" s="18"/>
      <c r="M174" s="18"/>
      <c r="P174" s="18"/>
      <c r="Q174" s="18"/>
      <c r="R174" s="43"/>
      <c r="S174" s="18"/>
      <c r="T174" s="18"/>
      <c r="U174" s="18"/>
      <c r="V174" s="43"/>
      <c r="W174" s="18"/>
      <c r="X174" s="18"/>
    </row>
    <row r="175" spans="1:26" x14ac:dyDescent="0.25">
      <c r="A175" s="9"/>
      <c r="B175" s="57" t="s">
        <v>314</v>
      </c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25">
      <c r="A176" s="9"/>
      <c r="B176" s="63"/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  <row r="177" spans="4:24" x14ac:dyDescent="0.25"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83257.350000000006</v>
      </c>
      <c r="E12" s="4"/>
      <c r="F12" s="12"/>
      <c r="G12" s="4"/>
      <c r="H12" s="4">
        <f>SUM(OSRRefH13x_0)</f>
        <v>284015</v>
      </c>
      <c r="I12" s="4"/>
      <c r="J12" s="12"/>
      <c r="K12" s="4"/>
      <c r="L12" s="4">
        <f t="shared" ref="L12:L50" si="0">+D12-H12</f>
        <v>-200757.65</v>
      </c>
      <c r="M12" s="4"/>
      <c r="N12" s="12">
        <f t="shared" ref="N12:N50" si="1">IF(H12=0,0,L12/H12)</f>
        <v>-0.70685579986972513</v>
      </c>
      <c r="O12" s="10"/>
      <c r="P12" s="4">
        <f>SUM(OSRRefP13x_0)</f>
        <v>709852.79000000015</v>
      </c>
      <c r="Q12" s="4"/>
      <c r="R12" s="12"/>
      <c r="S12" s="4"/>
      <c r="T12" s="4">
        <f>SUM(OSRRefT13x_0)</f>
        <v>1374198</v>
      </c>
      <c r="U12" s="4"/>
      <c r="V12" s="12"/>
      <c r="W12" s="4"/>
      <c r="X12" s="4">
        <f t="shared" ref="X12:X50" si="2">+P12-T12</f>
        <v>-664345.20999999985</v>
      </c>
      <c r="Y12" s="4"/>
      <c r="Z12" s="12">
        <f t="shared" ref="Z12:Z50" si="3">IF(T12=0,0,X12/T12)</f>
        <v>-0.48344213133769648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-8967.87</f>
        <v>-8967.8700000000008</v>
      </c>
      <c r="E13" s="2"/>
      <c r="F13" s="22"/>
      <c r="G13" s="2"/>
      <c r="H13" s="2">
        <v>284015</v>
      </c>
      <c r="I13" s="2"/>
      <c r="J13" s="22"/>
      <c r="K13" s="2"/>
      <c r="L13" s="2">
        <f t="shared" si="0"/>
        <v>-292982.87</v>
      </c>
      <c r="M13" s="2"/>
      <c r="N13" s="22">
        <f t="shared" si="1"/>
        <v>-1.031575339330669</v>
      </c>
      <c r="O13" s="11"/>
      <c r="P13" s="2">
        <f>-46449.33</f>
        <v>-46449.33</v>
      </c>
      <c r="Q13" s="2"/>
      <c r="R13" s="22"/>
      <c r="S13" s="2"/>
      <c r="T13" s="2">
        <v>1374198</v>
      </c>
      <c r="U13" s="2"/>
      <c r="V13" s="22"/>
      <c r="W13" s="2"/>
      <c r="X13" s="2">
        <f t="shared" si="2"/>
        <v>-1420647.33</v>
      </c>
      <c r="Y13" s="2"/>
      <c r="Z13" s="22">
        <f t="shared" si="3"/>
        <v>-1.0338010461374563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--1684.19</f>
        <v>1684.19</v>
      </c>
      <c r="E15" s="2"/>
      <c r="F15" s="22"/>
      <c r="G15" s="2"/>
      <c r="H15" s="2"/>
      <c r="I15" s="2"/>
      <c r="J15" s="22"/>
      <c r="K15" s="2"/>
      <c r="L15" s="2">
        <f t="shared" si="0"/>
        <v>1684.19</v>
      </c>
      <c r="M15" s="2"/>
      <c r="N15" s="22">
        <f t="shared" si="1"/>
        <v>0</v>
      </c>
      <c r="O15" s="11"/>
      <c r="P15" s="2">
        <f>--28679.91</f>
        <v>28679.91</v>
      </c>
      <c r="Q15" s="2"/>
      <c r="R15" s="22"/>
      <c r="S15" s="2"/>
      <c r="T15" s="2"/>
      <c r="U15" s="2"/>
      <c r="V15" s="22"/>
      <c r="W15" s="2"/>
      <c r="X15" s="2">
        <f t="shared" si="2"/>
        <v>28679.91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--1730.73</f>
        <v>1730.73</v>
      </c>
      <c r="E16" s="2"/>
      <c r="F16" s="22"/>
      <c r="G16" s="2"/>
      <c r="H16" s="2"/>
      <c r="I16" s="2"/>
      <c r="J16" s="22"/>
      <c r="K16" s="2"/>
      <c r="L16" s="2">
        <f t="shared" si="0"/>
        <v>1730.73</v>
      </c>
      <c r="M16" s="2"/>
      <c r="N16" s="22">
        <f t="shared" si="1"/>
        <v>0</v>
      </c>
      <c r="O16" s="11"/>
      <c r="P16" s="2">
        <f>--3520.53</f>
        <v>3520.53</v>
      </c>
      <c r="Q16" s="2"/>
      <c r="R16" s="22"/>
      <c r="S16" s="2"/>
      <c r="T16" s="2"/>
      <c r="U16" s="2"/>
      <c r="V16" s="22"/>
      <c r="W16" s="2"/>
      <c r="X16" s="2">
        <f t="shared" si="2"/>
        <v>3520.53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--194.65</f>
        <v>194.65</v>
      </c>
      <c r="E17" s="2"/>
      <c r="F17" s="22"/>
      <c r="G17" s="2"/>
      <c r="H17" s="2"/>
      <c r="I17" s="2"/>
      <c r="J17" s="22"/>
      <c r="K17" s="2"/>
      <c r="L17" s="2">
        <f t="shared" si="0"/>
        <v>194.65</v>
      </c>
      <c r="M17" s="2"/>
      <c r="N17" s="22">
        <f t="shared" si="1"/>
        <v>0</v>
      </c>
      <c r="O17" s="11"/>
      <c r="P17" s="2">
        <f>--1488.06</f>
        <v>1488.06</v>
      </c>
      <c r="Q17" s="2"/>
      <c r="R17" s="22"/>
      <c r="S17" s="2"/>
      <c r="T17" s="2"/>
      <c r="U17" s="2"/>
      <c r="V17" s="22"/>
      <c r="W17" s="2"/>
      <c r="X17" s="2">
        <f t="shared" si="2"/>
        <v>1488.06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--27086.99</f>
        <v>27086.99</v>
      </c>
      <c r="E19" s="2"/>
      <c r="F19" s="22"/>
      <c r="G19" s="2"/>
      <c r="H19" s="2"/>
      <c r="I19" s="2"/>
      <c r="J19" s="22"/>
      <c r="K19" s="2"/>
      <c r="L19" s="2">
        <f t="shared" si="0"/>
        <v>27086.99</v>
      </c>
      <c r="M19" s="2"/>
      <c r="N19" s="22">
        <f t="shared" si="1"/>
        <v>0</v>
      </c>
      <c r="O19" s="11"/>
      <c r="P19" s="2">
        <f>--335191.71</f>
        <v>335191.71000000002</v>
      </c>
      <c r="Q19" s="2"/>
      <c r="R19" s="22"/>
      <c r="S19" s="2"/>
      <c r="T19" s="2"/>
      <c r="U19" s="2"/>
      <c r="V19" s="22"/>
      <c r="W19" s="2"/>
      <c r="X19" s="2">
        <f t="shared" si="2"/>
        <v>335191.71000000002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--10311.63</f>
        <v>10311.629999999999</v>
      </c>
      <c r="E20" s="2"/>
      <c r="F20" s="22"/>
      <c r="G20" s="2"/>
      <c r="H20" s="2"/>
      <c r="I20" s="2"/>
      <c r="J20" s="22"/>
      <c r="K20" s="2"/>
      <c r="L20" s="2">
        <f t="shared" si="0"/>
        <v>10311.629999999999</v>
      </c>
      <c r="M20" s="2"/>
      <c r="N20" s="22">
        <f t="shared" si="1"/>
        <v>0</v>
      </c>
      <c r="O20" s="11"/>
      <c r="P20" s="2">
        <f>--91005.93</f>
        <v>91005.93</v>
      </c>
      <c r="Q20" s="2"/>
      <c r="R20" s="22"/>
      <c r="S20" s="2"/>
      <c r="T20" s="2"/>
      <c r="U20" s="2"/>
      <c r="V20" s="22"/>
      <c r="W20" s="2"/>
      <c r="X20" s="2">
        <f t="shared" si="2"/>
        <v>91005.93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--1278.37</f>
        <v>1278.3699999999999</v>
      </c>
      <c r="E21" s="2"/>
      <c r="F21" s="22"/>
      <c r="G21" s="2"/>
      <c r="H21" s="2"/>
      <c r="I21" s="2"/>
      <c r="J21" s="22"/>
      <c r="K21" s="2"/>
      <c r="L21" s="2">
        <f t="shared" si="0"/>
        <v>1278.3699999999999</v>
      </c>
      <c r="M21" s="2"/>
      <c r="N21" s="22">
        <f t="shared" si="1"/>
        <v>0</v>
      </c>
      <c r="O21" s="11"/>
      <c r="P21" s="2">
        <f>--39981.45</f>
        <v>39981.449999999997</v>
      </c>
      <c r="Q21" s="2"/>
      <c r="R21" s="22"/>
      <c r="S21" s="2"/>
      <c r="T21" s="2"/>
      <c r="U21" s="2"/>
      <c r="V21" s="22"/>
      <c r="W21" s="2"/>
      <c r="X21" s="2">
        <f t="shared" si="2"/>
        <v>39981.449999999997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--14878.42</f>
        <v>14878.42</v>
      </c>
      <c r="E22" s="2"/>
      <c r="F22" s="22"/>
      <c r="G22" s="2"/>
      <c r="H22" s="2"/>
      <c r="I22" s="2"/>
      <c r="J22" s="22"/>
      <c r="K22" s="2"/>
      <c r="L22" s="2">
        <f t="shared" si="0"/>
        <v>14878.42</v>
      </c>
      <c r="M22" s="2"/>
      <c r="N22" s="22">
        <f t="shared" si="1"/>
        <v>0</v>
      </c>
      <c r="O22" s="11"/>
      <c r="P22" s="2">
        <f>--54299.26</f>
        <v>54299.26</v>
      </c>
      <c r="Q22" s="2"/>
      <c r="R22" s="22"/>
      <c r="S22" s="2"/>
      <c r="T22" s="2"/>
      <c r="U22" s="2"/>
      <c r="V22" s="22"/>
      <c r="W22" s="2"/>
      <c r="X22" s="2">
        <f t="shared" si="2"/>
        <v>54299.26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--2286.03</f>
        <v>2286.0300000000002</v>
      </c>
      <c r="E23" s="2"/>
      <c r="F23" s="22"/>
      <c r="G23" s="2"/>
      <c r="H23" s="2"/>
      <c r="I23" s="2"/>
      <c r="J23" s="22"/>
      <c r="K23" s="2"/>
      <c r="L23" s="2">
        <f t="shared" si="0"/>
        <v>2286.0300000000002</v>
      </c>
      <c r="M23" s="2"/>
      <c r="N23" s="22">
        <f t="shared" si="1"/>
        <v>0</v>
      </c>
      <c r="O23" s="11"/>
      <c r="P23" s="2">
        <f>--13778.17</f>
        <v>13778.17</v>
      </c>
      <c r="Q23" s="2"/>
      <c r="R23" s="22"/>
      <c r="S23" s="2"/>
      <c r="T23" s="2"/>
      <c r="U23" s="2"/>
      <c r="V23" s="22"/>
      <c r="W23" s="2"/>
      <c r="X23" s="2">
        <f t="shared" si="2"/>
        <v>13778.17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--11240.61</f>
        <v>11240.61</v>
      </c>
      <c r="E24" s="2"/>
      <c r="F24" s="22"/>
      <c r="G24" s="2"/>
      <c r="H24" s="2"/>
      <c r="I24" s="2"/>
      <c r="J24" s="22"/>
      <c r="K24" s="2"/>
      <c r="L24" s="2">
        <f t="shared" si="0"/>
        <v>11240.61</v>
      </c>
      <c r="M24" s="2"/>
      <c r="N24" s="22">
        <f t="shared" si="1"/>
        <v>0</v>
      </c>
      <c r="O24" s="11"/>
      <c r="P24" s="2">
        <f>--107925.7</f>
        <v>107925.7</v>
      </c>
      <c r="Q24" s="2"/>
      <c r="R24" s="22"/>
      <c r="S24" s="2"/>
      <c r="T24" s="2"/>
      <c r="U24" s="2"/>
      <c r="V24" s="22"/>
      <c r="W24" s="2"/>
      <c r="X24" s="2">
        <f t="shared" si="2"/>
        <v>107925.7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--114.89</f>
        <v>114.89</v>
      </c>
      <c r="E26" s="2"/>
      <c r="F26" s="22"/>
      <c r="G26" s="2"/>
      <c r="H26" s="2"/>
      <c r="I26" s="2"/>
      <c r="J26" s="22"/>
      <c r="K26" s="2"/>
      <c r="L26" s="2">
        <f t="shared" si="0"/>
        <v>114.89</v>
      </c>
      <c r="M26" s="2"/>
      <c r="N26" s="22">
        <f t="shared" si="1"/>
        <v>0</v>
      </c>
      <c r="O26" s="11"/>
      <c r="P26" s="2">
        <f>--2946.58</f>
        <v>2946.58</v>
      </c>
      <c r="Q26" s="2"/>
      <c r="R26" s="22"/>
      <c r="S26" s="2"/>
      <c r="T26" s="2"/>
      <c r="U26" s="2"/>
      <c r="V26" s="22"/>
      <c r="W26" s="2"/>
      <c r="X26" s="2">
        <f t="shared" si="2"/>
        <v>2946.58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--24.78</f>
        <v>24.78</v>
      </c>
      <c r="E27" s="2"/>
      <c r="F27" s="22"/>
      <c r="G27" s="2"/>
      <c r="H27" s="2"/>
      <c r="I27" s="2"/>
      <c r="J27" s="22"/>
      <c r="K27" s="2"/>
      <c r="L27" s="2">
        <f t="shared" si="0"/>
        <v>24.78</v>
      </c>
      <c r="M27" s="2"/>
      <c r="N27" s="22">
        <f t="shared" si="1"/>
        <v>0</v>
      </c>
      <c r="O27" s="11"/>
      <c r="P27" s="2">
        <f>--24.78</f>
        <v>24.78</v>
      </c>
      <c r="Q27" s="2"/>
      <c r="R27" s="22"/>
      <c r="S27" s="2"/>
      <c r="T27" s="2"/>
      <c r="U27" s="2"/>
      <c r="V27" s="22"/>
      <c r="W27" s="2"/>
      <c r="X27" s="2">
        <f t="shared" si="2"/>
        <v>24.78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--977.89</f>
        <v>977.89</v>
      </c>
      <c r="E28" s="2"/>
      <c r="F28" s="22"/>
      <c r="G28" s="2"/>
      <c r="H28" s="2"/>
      <c r="I28" s="2"/>
      <c r="J28" s="22"/>
      <c r="K28" s="2"/>
      <c r="L28" s="2">
        <f t="shared" si="0"/>
        <v>977.89</v>
      </c>
      <c r="M28" s="2"/>
      <c r="N28" s="22">
        <f t="shared" si="1"/>
        <v>0</v>
      </c>
      <c r="O28" s="11"/>
      <c r="P28" s="2">
        <f>--4626.17</f>
        <v>4626.17</v>
      </c>
      <c r="Q28" s="2"/>
      <c r="R28" s="22"/>
      <c r="S28" s="2"/>
      <c r="T28" s="2"/>
      <c r="U28" s="2"/>
      <c r="V28" s="22"/>
      <c r="W28" s="2"/>
      <c r="X28" s="2">
        <f t="shared" si="2"/>
        <v>4626.17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--59.25</f>
        <v>59.25</v>
      </c>
      <c r="Q32" s="2"/>
      <c r="R32" s="22"/>
      <c r="S32" s="2"/>
      <c r="T32" s="2"/>
      <c r="U32" s="2"/>
      <c r="V32" s="22"/>
      <c r="W32" s="2"/>
      <c r="X32" s="2">
        <f t="shared" si="2"/>
        <v>59.25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--19679.84</f>
        <v>19679.84</v>
      </c>
      <c r="E33" s="2"/>
      <c r="F33" s="22"/>
      <c r="G33" s="2"/>
      <c r="H33" s="2"/>
      <c r="I33" s="2"/>
      <c r="J33" s="22"/>
      <c r="K33" s="2"/>
      <c r="L33" s="2">
        <f t="shared" si="0"/>
        <v>19679.84</v>
      </c>
      <c r="M33" s="2"/>
      <c r="N33" s="22">
        <f t="shared" si="1"/>
        <v>0</v>
      </c>
      <c r="O33" s="11"/>
      <c r="P33" s="2">
        <f>--50154.49</f>
        <v>50154.49</v>
      </c>
      <c r="Q33" s="2"/>
      <c r="R33" s="22"/>
      <c r="S33" s="2"/>
      <c r="T33" s="2"/>
      <c r="U33" s="2"/>
      <c r="V33" s="22"/>
      <c r="W33" s="2"/>
      <c r="X33" s="2">
        <f t="shared" si="2"/>
        <v>50154.49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--806.32</f>
        <v>806.32</v>
      </c>
      <c r="E34" s="2"/>
      <c r="F34" s="22"/>
      <c r="G34" s="2"/>
      <c r="H34" s="2"/>
      <c r="I34" s="2"/>
      <c r="J34" s="22"/>
      <c r="K34" s="2"/>
      <c r="L34" s="2">
        <f t="shared" si="0"/>
        <v>806.32</v>
      </c>
      <c r="M34" s="2"/>
      <c r="N34" s="22">
        <f t="shared" si="1"/>
        <v>0</v>
      </c>
      <c r="O34" s="11"/>
      <c r="P34" s="2">
        <f>--3677.52</f>
        <v>3677.52</v>
      </c>
      <c r="Q34" s="2"/>
      <c r="R34" s="22"/>
      <c r="S34" s="2"/>
      <c r="T34" s="2"/>
      <c r="U34" s="2"/>
      <c r="V34" s="22"/>
      <c r="W34" s="2"/>
      <c r="X34" s="2">
        <f t="shared" si="2"/>
        <v>3677.52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--28.17</f>
        <v>28.17</v>
      </c>
      <c r="E35" s="2"/>
      <c r="F35" s="22"/>
      <c r="G35" s="2"/>
      <c r="H35" s="2"/>
      <c r="I35" s="2"/>
      <c r="J35" s="22"/>
      <c r="K35" s="2"/>
      <c r="L35" s="2">
        <f t="shared" si="0"/>
        <v>28.17</v>
      </c>
      <c r="M35" s="2"/>
      <c r="N35" s="22">
        <f t="shared" si="1"/>
        <v>0</v>
      </c>
      <c r="O35" s="11"/>
      <c r="P35" s="2">
        <f>--1097.6</f>
        <v>1097.5999999999999</v>
      </c>
      <c r="Q35" s="2"/>
      <c r="R35" s="22"/>
      <c r="S35" s="2"/>
      <c r="T35" s="2"/>
      <c r="U35" s="2"/>
      <c r="V35" s="22"/>
      <c r="W35" s="2"/>
      <c r="X35" s="2">
        <f t="shared" si="2"/>
        <v>1097.5999999999999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--9.99</f>
        <v>9.99</v>
      </c>
      <c r="E36" s="2"/>
      <c r="F36" s="22"/>
      <c r="G36" s="2"/>
      <c r="H36" s="2"/>
      <c r="I36" s="2"/>
      <c r="J36" s="22"/>
      <c r="K36" s="2"/>
      <c r="L36" s="2">
        <f t="shared" si="0"/>
        <v>9.99</v>
      </c>
      <c r="M36" s="2"/>
      <c r="N36" s="22">
        <f t="shared" si="1"/>
        <v>0</v>
      </c>
      <c r="O36" s="11"/>
      <c r="P36" s="2">
        <f>--39.96</f>
        <v>39.96</v>
      </c>
      <c r="Q36" s="2"/>
      <c r="R36" s="22"/>
      <c r="S36" s="2"/>
      <c r="T36" s="2"/>
      <c r="U36" s="2"/>
      <c r="V36" s="22"/>
      <c r="W36" s="2"/>
      <c r="X36" s="2">
        <f t="shared" si="2"/>
        <v>39.96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--19.95</f>
        <v>19.95</v>
      </c>
      <c r="E37" s="2"/>
      <c r="F37" s="22"/>
      <c r="G37" s="2"/>
      <c r="H37" s="2"/>
      <c r="I37" s="2"/>
      <c r="J37" s="22"/>
      <c r="K37" s="2"/>
      <c r="L37" s="2">
        <f t="shared" si="0"/>
        <v>19.95</v>
      </c>
      <c r="M37" s="2"/>
      <c r="N37" s="22">
        <f t="shared" si="1"/>
        <v>0</v>
      </c>
      <c r="O37" s="11"/>
      <c r="P37" s="2">
        <f>--389.7</f>
        <v>389.7</v>
      </c>
      <c r="Q37" s="2"/>
      <c r="R37" s="22"/>
      <c r="S37" s="2"/>
      <c r="T37" s="2"/>
      <c r="U37" s="2"/>
      <c r="V37" s="22"/>
      <c r="W37" s="2"/>
      <c r="X37" s="2">
        <f t="shared" si="2"/>
        <v>389.7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--2800</f>
        <v>2800</v>
      </c>
      <c r="E38" s="2"/>
      <c r="F38" s="22"/>
      <c r="G38" s="2"/>
      <c r="H38" s="2"/>
      <c r="I38" s="2"/>
      <c r="J38" s="22"/>
      <c r="K38" s="2"/>
      <c r="L38" s="2">
        <f t="shared" si="0"/>
        <v>2800</v>
      </c>
      <c r="M38" s="2"/>
      <c r="N38" s="22">
        <f t="shared" si="1"/>
        <v>0</v>
      </c>
      <c r="O38" s="11"/>
      <c r="P38" s="2">
        <f>--38639</f>
        <v>38639</v>
      </c>
      <c r="Q38" s="2"/>
      <c r="R38" s="22"/>
      <c r="S38" s="2"/>
      <c r="T38" s="2"/>
      <c r="U38" s="2"/>
      <c r="V38" s="22"/>
      <c r="W38" s="2"/>
      <c r="X38" s="2">
        <f t="shared" si="2"/>
        <v>38639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-6.38</f>
        <v>-6.38</v>
      </c>
      <c r="Q39" s="2"/>
      <c r="R39" s="22"/>
      <c r="S39" s="2"/>
      <c r="T39" s="2"/>
      <c r="U39" s="2"/>
      <c r="V39" s="22"/>
      <c r="W39" s="2"/>
      <c r="X39" s="2">
        <f t="shared" si="2"/>
        <v>-6.38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-31.98</f>
        <v>-31.98</v>
      </c>
      <c r="E40" s="2"/>
      <c r="F40" s="22"/>
      <c r="G40" s="2"/>
      <c r="H40" s="2"/>
      <c r="I40" s="2"/>
      <c r="J40" s="22"/>
      <c r="K40" s="2"/>
      <c r="L40" s="2">
        <f t="shared" si="0"/>
        <v>-31.98</v>
      </c>
      <c r="M40" s="2"/>
      <c r="N40" s="22">
        <f t="shared" si="1"/>
        <v>0</v>
      </c>
      <c r="O40" s="11"/>
      <c r="P40" s="2">
        <f>-420.67</f>
        <v>-420.67</v>
      </c>
      <c r="Q40" s="2"/>
      <c r="R40" s="22"/>
      <c r="S40" s="2"/>
      <c r="T40" s="2"/>
      <c r="U40" s="2"/>
      <c r="V40" s="22"/>
      <c r="W40" s="2"/>
      <c r="X40" s="2">
        <f t="shared" si="2"/>
        <v>-420.67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-32.49</f>
        <v>-32.49</v>
      </c>
      <c r="E41" s="2"/>
      <c r="F41" s="22"/>
      <c r="G41" s="2"/>
      <c r="H41" s="2"/>
      <c r="I41" s="2"/>
      <c r="J41" s="22"/>
      <c r="K41" s="2"/>
      <c r="L41" s="2">
        <f t="shared" si="0"/>
        <v>-32.49</v>
      </c>
      <c r="M41" s="2"/>
      <c r="N41" s="22">
        <f t="shared" si="1"/>
        <v>0</v>
      </c>
      <c r="O41" s="11"/>
      <c r="P41" s="2">
        <f>-32.49</f>
        <v>-32.49</v>
      </c>
      <c r="Q41" s="2"/>
      <c r="R41" s="22"/>
      <c r="S41" s="2"/>
      <c r="T41" s="2"/>
      <c r="U41" s="2"/>
      <c r="V41" s="22"/>
      <c r="W41" s="2"/>
      <c r="X41" s="2">
        <f t="shared" si="2"/>
        <v>-32.49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-1377.35</f>
        <v>-1377.35</v>
      </c>
      <c r="E42" s="2"/>
      <c r="F42" s="22"/>
      <c r="G42" s="2"/>
      <c r="H42" s="2"/>
      <c r="I42" s="2"/>
      <c r="J42" s="22"/>
      <c r="K42" s="2"/>
      <c r="L42" s="2">
        <f t="shared" si="0"/>
        <v>-1377.35</v>
      </c>
      <c r="M42" s="2"/>
      <c r="N42" s="22">
        <f t="shared" si="1"/>
        <v>0</v>
      </c>
      <c r="O42" s="11"/>
      <c r="P42" s="2">
        <f>-12805.64</f>
        <v>-12805.64</v>
      </c>
      <c r="Q42" s="2"/>
      <c r="R42" s="22"/>
      <c r="S42" s="2"/>
      <c r="T42" s="2"/>
      <c r="U42" s="2"/>
      <c r="V42" s="22"/>
      <c r="W42" s="2"/>
      <c r="X42" s="2">
        <f t="shared" si="2"/>
        <v>-12805.64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-67.89</f>
        <v>-67.89</v>
      </c>
      <c r="E43" s="2"/>
      <c r="F43" s="22"/>
      <c r="G43" s="2"/>
      <c r="H43" s="2"/>
      <c r="I43" s="2"/>
      <c r="J43" s="22"/>
      <c r="K43" s="2"/>
      <c r="L43" s="2">
        <f t="shared" si="0"/>
        <v>-67.89</v>
      </c>
      <c r="M43" s="2"/>
      <c r="N43" s="22">
        <f t="shared" si="1"/>
        <v>0</v>
      </c>
      <c r="O43" s="11"/>
      <c r="P43" s="2">
        <f>-1824.25</f>
        <v>-1824.25</v>
      </c>
      <c r="Q43" s="2"/>
      <c r="R43" s="22"/>
      <c r="S43" s="2"/>
      <c r="T43" s="2"/>
      <c r="U43" s="2"/>
      <c r="V43" s="22"/>
      <c r="W43" s="2"/>
      <c r="X43" s="2">
        <f t="shared" si="2"/>
        <v>-1824.25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-4.5</f>
        <v>-4.5</v>
      </c>
      <c r="E44" s="2"/>
      <c r="F44" s="22"/>
      <c r="G44" s="2"/>
      <c r="H44" s="2"/>
      <c r="I44" s="2"/>
      <c r="J44" s="22"/>
      <c r="K44" s="2"/>
      <c r="L44" s="2">
        <f t="shared" si="0"/>
        <v>-4.5</v>
      </c>
      <c r="M44" s="2"/>
      <c r="N44" s="22">
        <f t="shared" si="1"/>
        <v>0</v>
      </c>
      <c r="O44" s="11"/>
      <c r="P44" s="2">
        <f>-1214.21</f>
        <v>-1214.21</v>
      </c>
      <c r="Q44" s="2"/>
      <c r="R44" s="22"/>
      <c r="S44" s="2"/>
      <c r="T44" s="2"/>
      <c r="U44" s="2"/>
      <c r="V44" s="22"/>
      <c r="W44" s="2"/>
      <c r="X44" s="2">
        <f t="shared" si="2"/>
        <v>-1214.21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-829.54</f>
        <v>-829.54</v>
      </c>
      <c r="E45" s="2"/>
      <c r="F45" s="22"/>
      <c r="G45" s="2"/>
      <c r="H45" s="2"/>
      <c r="I45" s="2"/>
      <c r="J45" s="22"/>
      <c r="K45" s="2"/>
      <c r="L45" s="2">
        <f t="shared" si="0"/>
        <v>-829.54</v>
      </c>
      <c r="M45" s="2"/>
      <c r="N45" s="22">
        <f t="shared" si="1"/>
        <v>0</v>
      </c>
      <c r="O45" s="11"/>
      <c r="P45" s="2">
        <f>-1812.46</f>
        <v>-1812.46</v>
      </c>
      <c r="Q45" s="2"/>
      <c r="R45" s="22"/>
      <c r="S45" s="2"/>
      <c r="T45" s="2"/>
      <c r="U45" s="2"/>
      <c r="V45" s="22"/>
      <c r="W45" s="2"/>
      <c r="X45" s="2">
        <f t="shared" si="2"/>
        <v>-1812.46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-179.95</f>
        <v>-179.95</v>
      </c>
      <c r="E46" s="2"/>
      <c r="F46" s="22"/>
      <c r="G46" s="2"/>
      <c r="H46" s="2"/>
      <c r="I46" s="2"/>
      <c r="J46" s="22"/>
      <c r="K46" s="2"/>
      <c r="L46" s="2">
        <f t="shared" si="0"/>
        <v>-179.95</v>
      </c>
      <c r="M46" s="2"/>
      <c r="N46" s="22">
        <f t="shared" si="1"/>
        <v>0</v>
      </c>
      <c r="O46" s="11"/>
      <c r="P46" s="2">
        <f>-590.94</f>
        <v>-590.94000000000005</v>
      </c>
      <c r="Q46" s="2"/>
      <c r="R46" s="22"/>
      <c r="S46" s="2"/>
      <c r="T46" s="2"/>
      <c r="U46" s="2"/>
      <c r="V46" s="22"/>
      <c r="W46" s="2"/>
      <c r="X46" s="2">
        <f t="shared" si="2"/>
        <v>-590.94000000000005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-45.89</f>
        <v>-45.89</v>
      </c>
      <c r="E47" s="2"/>
      <c r="F47" s="22"/>
      <c r="G47" s="2"/>
      <c r="H47" s="2"/>
      <c r="I47" s="2"/>
      <c r="J47" s="22"/>
      <c r="K47" s="2"/>
      <c r="L47" s="2">
        <f t="shared" si="0"/>
        <v>-45.89</v>
      </c>
      <c r="M47" s="2"/>
      <c r="N47" s="22">
        <f t="shared" si="1"/>
        <v>0</v>
      </c>
      <c r="O47" s="11"/>
      <c r="P47" s="2">
        <f>-1585.82</f>
        <v>-1585.82</v>
      </c>
      <c r="Q47" s="2"/>
      <c r="R47" s="22"/>
      <c r="S47" s="2"/>
      <c r="T47" s="2"/>
      <c r="U47" s="2"/>
      <c r="V47" s="22"/>
      <c r="W47" s="2"/>
      <c r="X47" s="2">
        <f t="shared" si="2"/>
        <v>-1585.82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-203.75</f>
        <v>-203.75</v>
      </c>
      <c r="E48" s="2"/>
      <c r="F48" s="22"/>
      <c r="G48" s="2"/>
      <c r="H48" s="2"/>
      <c r="I48" s="2"/>
      <c r="J48" s="22"/>
      <c r="K48" s="2"/>
      <c r="L48" s="2">
        <f t="shared" si="0"/>
        <v>-203.75</v>
      </c>
      <c r="M48" s="2"/>
      <c r="N48" s="22">
        <f t="shared" si="1"/>
        <v>0</v>
      </c>
      <c r="O48" s="11"/>
      <c r="P48" s="2">
        <f>-940.48</f>
        <v>-940.48</v>
      </c>
      <c r="Q48" s="2"/>
      <c r="R48" s="22"/>
      <c r="S48" s="2"/>
      <c r="T48" s="2"/>
      <c r="U48" s="2"/>
      <c r="V48" s="22"/>
      <c r="W48" s="2"/>
      <c r="X48" s="2">
        <f t="shared" si="2"/>
        <v>-940.48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-154.89</f>
        <v>-154.88999999999999</v>
      </c>
      <c r="E49" s="2"/>
      <c r="F49" s="22"/>
      <c r="G49" s="2"/>
      <c r="H49" s="2"/>
      <c r="I49" s="2"/>
      <c r="J49" s="22"/>
      <c r="K49" s="2"/>
      <c r="L49" s="2">
        <f t="shared" si="0"/>
        <v>-154.88999999999999</v>
      </c>
      <c r="M49" s="2"/>
      <c r="N49" s="22">
        <f t="shared" si="1"/>
        <v>0</v>
      </c>
      <c r="O49" s="11"/>
      <c r="P49" s="2">
        <f>-301.79</f>
        <v>-301.79000000000002</v>
      </c>
      <c r="Q49" s="2"/>
      <c r="R49" s="22"/>
      <c r="S49" s="2"/>
      <c r="T49" s="2"/>
      <c r="U49" s="2"/>
      <c r="V49" s="22"/>
      <c r="W49" s="2"/>
      <c r="X49" s="2">
        <f t="shared" si="2"/>
        <v>-301.79000000000002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46546</v>
      </c>
      <c r="E52" s="4"/>
      <c r="F52" s="12">
        <f t="shared" ref="F52:F74" si="5">IF(D$12=0,0,D52/D$12)</f>
        <v>0.55906175250593482</v>
      </c>
      <c r="G52" s="4"/>
      <c r="H52" s="4">
        <f>SUM(OSRRefH16x_0)</f>
        <v>131357</v>
      </c>
      <c r="I52" s="4"/>
      <c r="J52" s="12">
        <f t="shared" ref="J52:J74" si="6">IF(H$12=0,0,H52/H$12)</f>
        <v>0.4625002200587997</v>
      </c>
      <c r="K52" s="4"/>
      <c r="L52" s="4">
        <f t="shared" ref="L52:L74" si="7">+D52-H52</f>
        <v>-84811</v>
      </c>
      <c r="M52" s="4"/>
      <c r="N52" s="12">
        <f t="shared" ref="N52:N74" si="8">IF(H52=0,0,L52/H52)</f>
        <v>-0.64565268695235123</v>
      </c>
      <c r="O52" s="10"/>
      <c r="P52" s="4">
        <f>SUM(OSRRefP16x_0)</f>
        <v>430719.54</v>
      </c>
      <c r="Q52" s="4"/>
      <c r="R52" s="12">
        <f t="shared" ref="R52:R74" si="9">IF(P$12=0,0,P52/P$12)</f>
        <v>0.60677304656364017</v>
      </c>
      <c r="S52" s="4"/>
      <c r="T52" s="4">
        <f>SUM(OSRRefT16x_0)</f>
        <v>635567</v>
      </c>
      <c r="U52" s="4"/>
      <c r="V52" s="12">
        <f t="shared" ref="V52:V74" si="10">IF(T$12=0,0,T52/T$12)</f>
        <v>0.46250030927129859</v>
      </c>
      <c r="W52" s="4"/>
      <c r="X52" s="4">
        <f t="shared" ref="X52:X74" si="11">+P52-T52</f>
        <v>-204847.46000000002</v>
      </c>
      <c r="Y52" s="4"/>
      <c r="Z52" s="12">
        <f t="shared" ref="Z52:Z74" si="12">IF(T52=0,0,X52/T52)</f>
        <v>-0.32230663328964532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131357</v>
      </c>
      <c r="I53" s="2"/>
      <c r="J53" s="22">
        <f t="shared" si="6"/>
        <v>0.4625002200587997</v>
      </c>
      <c r="K53" s="2"/>
      <c r="L53" s="2">
        <f t="shared" si="7"/>
        <v>-131357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635567</v>
      </c>
      <c r="U53" s="2"/>
      <c r="V53" s="22">
        <f t="shared" si="10"/>
        <v>0.46250030927129859</v>
      </c>
      <c r="W53" s="2"/>
      <c r="X53" s="2">
        <f t="shared" si="11"/>
        <v>-635567</v>
      </c>
      <c r="Y53" s="2"/>
      <c r="Z53" s="22">
        <f t="shared" si="12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8.4424546672557256E-4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1.4087427901776645E-5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2.5605139905134411E-2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-1.1748914870081723E-4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/>
      <c r="E58" s="2"/>
      <c r="F58" s="22">
        <f t="shared" si="5"/>
        <v>0</v>
      </c>
      <c r="G58" s="2"/>
      <c r="H58" s="2"/>
      <c r="I58" s="2"/>
      <c r="J58" s="22">
        <f t="shared" si="6"/>
        <v>0</v>
      </c>
      <c r="K58" s="2"/>
      <c r="L58" s="2">
        <f t="shared" si="7"/>
        <v>0</v>
      </c>
      <c r="M58" s="2"/>
      <c r="N58" s="22">
        <f t="shared" si="8"/>
        <v>0</v>
      </c>
      <c r="O58" s="11"/>
      <c r="P58" s="2">
        <v>5605.43</v>
      </c>
      <c r="Q58" s="2"/>
      <c r="R58" s="22">
        <f t="shared" si="9"/>
        <v>7.8966090983455875E-3</v>
      </c>
      <c r="S58" s="2"/>
      <c r="T58" s="2"/>
      <c r="U58" s="2"/>
      <c r="V58" s="22">
        <f t="shared" si="10"/>
        <v>0</v>
      </c>
      <c r="W58" s="2"/>
      <c r="X58" s="2">
        <f t="shared" si="11"/>
        <v>5605.43</v>
      </c>
      <c r="Y58" s="2"/>
      <c r="Z58" s="22">
        <f t="shared" si="12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55124.33</v>
      </c>
      <c r="E59" s="2"/>
      <c r="F59" s="22">
        <f t="shared" si="5"/>
        <v>0.66209565882171362</v>
      </c>
      <c r="G59" s="2"/>
      <c r="H59" s="2"/>
      <c r="I59" s="2"/>
      <c r="J59" s="22">
        <f t="shared" si="6"/>
        <v>0</v>
      </c>
      <c r="K59" s="2"/>
      <c r="L59" s="2">
        <f t="shared" si="7"/>
        <v>55124.33</v>
      </c>
      <c r="M59" s="2"/>
      <c r="N59" s="22">
        <f t="shared" si="8"/>
        <v>0</v>
      </c>
      <c r="O59" s="11"/>
      <c r="P59" s="2">
        <v>94295.28</v>
      </c>
      <c r="Q59" s="2"/>
      <c r="R59" s="22">
        <f t="shared" si="9"/>
        <v>0.13283779584778413</v>
      </c>
      <c r="S59" s="2"/>
      <c r="T59" s="2"/>
      <c r="U59" s="2"/>
      <c r="V59" s="22">
        <f t="shared" si="10"/>
        <v>0</v>
      </c>
      <c r="W59" s="2"/>
      <c r="X59" s="2">
        <f t="shared" si="11"/>
        <v>94295.28</v>
      </c>
      <c r="Y59" s="2"/>
      <c r="Z59" s="22">
        <f t="shared" si="12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9354.43</v>
      </c>
      <c r="E60" s="2"/>
      <c r="F60" s="22">
        <f t="shared" si="5"/>
        <v>0.11235560584140619</v>
      </c>
      <c r="G60" s="2"/>
      <c r="H60" s="2"/>
      <c r="I60" s="2"/>
      <c r="J60" s="22">
        <f t="shared" si="6"/>
        <v>0</v>
      </c>
      <c r="K60" s="2"/>
      <c r="L60" s="2">
        <f t="shared" si="7"/>
        <v>9354.43</v>
      </c>
      <c r="M60" s="2"/>
      <c r="N60" s="22">
        <f t="shared" si="8"/>
        <v>0</v>
      </c>
      <c r="O60" s="11"/>
      <c r="P60" s="2">
        <v>26434.17</v>
      </c>
      <c r="Q60" s="2"/>
      <c r="R60" s="22">
        <f t="shared" si="9"/>
        <v>3.723894640183071E-2</v>
      </c>
      <c r="S60" s="2"/>
      <c r="T60" s="2"/>
      <c r="U60" s="2"/>
      <c r="V60" s="22">
        <f t="shared" si="10"/>
        <v>0</v>
      </c>
      <c r="W60" s="2"/>
      <c r="X60" s="2">
        <f t="shared" si="11"/>
        <v>26434.17</v>
      </c>
      <c r="Y60" s="2"/>
      <c r="Z60" s="22">
        <f t="shared" si="12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/>
      <c r="E61" s="2"/>
      <c r="F61" s="22">
        <f t="shared" si="5"/>
        <v>0</v>
      </c>
      <c r="G61" s="2"/>
      <c r="H61" s="2"/>
      <c r="I61" s="2"/>
      <c r="J61" s="22">
        <f t="shared" si="6"/>
        <v>0</v>
      </c>
      <c r="K61" s="2"/>
      <c r="L61" s="2">
        <f t="shared" si="7"/>
        <v>0</v>
      </c>
      <c r="M61" s="2"/>
      <c r="N61" s="22">
        <f t="shared" si="8"/>
        <v>0</v>
      </c>
      <c r="O61" s="11"/>
      <c r="P61" s="2">
        <v>2966.64</v>
      </c>
      <c r="Q61" s="2"/>
      <c r="R61" s="22">
        <f t="shared" si="9"/>
        <v>4.179232711052667E-3</v>
      </c>
      <c r="S61" s="2"/>
      <c r="T61" s="2"/>
      <c r="U61" s="2"/>
      <c r="V61" s="22">
        <f t="shared" si="10"/>
        <v>0</v>
      </c>
      <c r="W61" s="2"/>
      <c r="X61" s="2">
        <f t="shared" si="11"/>
        <v>2966.64</v>
      </c>
      <c r="Y61" s="2"/>
      <c r="Z61" s="22">
        <f t="shared" si="12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38530.230000000003</v>
      </c>
      <c r="E62" s="2"/>
      <c r="F62" s="22">
        <f t="shared" si="5"/>
        <v>0.46278472711418273</v>
      </c>
      <c r="G62" s="2"/>
      <c r="H62" s="2"/>
      <c r="I62" s="2"/>
      <c r="J62" s="22">
        <f t="shared" si="6"/>
        <v>0</v>
      </c>
      <c r="K62" s="2"/>
      <c r="L62" s="2">
        <f t="shared" si="7"/>
        <v>38530.230000000003</v>
      </c>
      <c r="M62" s="2"/>
      <c r="N62" s="22">
        <f t="shared" si="8"/>
        <v>0</v>
      </c>
      <c r="O62" s="11"/>
      <c r="P62" s="2">
        <v>44173.23</v>
      </c>
      <c r="Q62" s="2"/>
      <c r="R62" s="22">
        <f t="shared" si="9"/>
        <v>6.2228719281359722E-2</v>
      </c>
      <c r="S62" s="2"/>
      <c r="T62" s="2"/>
      <c r="U62" s="2"/>
      <c r="V62" s="22">
        <f t="shared" si="10"/>
        <v>0</v>
      </c>
      <c r="W62" s="2"/>
      <c r="X62" s="2">
        <f t="shared" si="11"/>
        <v>44173.23</v>
      </c>
      <c r="Y62" s="2"/>
      <c r="Z62" s="22">
        <f t="shared" si="12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>
        <v>282.33</v>
      </c>
      <c r="E63" s="2"/>
      <c r="F63" s="22">
        <f t="shared" si="5"/>
        <v>3.3910519611782017E-3</v>
      </c>
      <c r="G63" s="2"/>
      <c r="H63" s="2"/>
      <c r="I63" s="2"/>
      <c r="J63" s="22">
        <f t="shared" si="6"/>
        <v>0</v>
      </c>
      <c r="K63" s="2"/>
      <c r="L63" s="2">
        <f t="shared" si="7"/>
        <v>282.33</v>
      </c>
      <c r="M63" s="2"/>
      <c r="N63" s="22">
        <f t="shared" si="8"/>
        <v>0</v>
      </c>
      <c r="O63" s="11"/>
      <c r="P63" s="2">
        <v>282.33</v>
      </c>
      <c r="Q63" s="2"/>
      <c r="R63" s="22">
        <f t="shared" si="9"/>
        <v>3.9773035195086001E-4</v>
      </c>
      <c r="S63" s="2"/>
      <c r="T63" s="2"/>
      <c r="U63" s="2"/>
      <c r="V63" s="22">
        <f t="shared" si="10"/>
        <v>0</v>
      </c>
      <c r="W63" s="2"/>
      <c r="X63" s="2">
        <f t="shared" si="11"/>
        <v>282.33</v>
      </c>
      <c r="Y63" s="2"/>
      <c r="Z63" s="22">
        <f t="shared" si="12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5678</v>
      </c>
      <c r="E64" s="2"/>
      <c r="F64" s="22">
        <f t="shared" si="5"/>
        <v>6.8198183103353627E-2</v>
      </c>
      <c r="G64" s="2"/>
      <c r="H64" s="2"/>
      <c r="I64" s="2"/>
      <c r="J64" s="22">
        <f t="shared" si="6"/>
        <v>0</v>
      </c>
      <c r="K64" s="2"/>
      <c r="L64" s="2">
        <f t="shared" si="7"/>
        <v>5678</v>
      </c>
      <c r="M64" s="2"/>
      <c r="N64" s="22">
        <f t="shared" si="8"/>
        <v>0</v>
      </c>
      <c r="O64" s="11"/>
      <c r="P64" s="2">
        <v>76932.51999999999</v>
      </c>
      <c r="Q64" s="2"/>
      <c r="R64" s="22">
        <f t="shared" si="9"/>
        <v>0.10837813288019897</v>
      </c>
      <c r="S64" s="2"/>
      <c r="T64" s="2"/>
      <c r="U64" s="2"/>
      <c r="V64" s="22">
        <f t="shared" si="10"/>
        <v>0</v>
      </c>
      <c r="W64" s="2"/>
      <c r="X64" s="2">
        <f t="shared" si="11"/>
        <v>76932.51999999999</v>
      </c>
      <c r="Y64" s="2"/>
      <c r="Z64" s="22">
        <f t="shared" si="12"/>
        <v>0</v>
      </c>
    </row>
    <row r="65" spans="1:26" s="24" customFormat="1" hidden="1" outlineLevel="1" x14ac:dyDescent="0.2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-116985.24</v>
      </c>
      <c r="E65" s="2"/>
      <c r="F65" s="22">
        <f t="shared" si="5"/>
        <v>-1.4051040538763244</v>
      </c>
      <c r="G65" s="2"/>
      <c r="H65" s="2"/>
      <c r="I65" s="2"/>
      <c r="J65" s="22">
        <f t="shared" si="6"/>
        <v>0</v>
      </c>
      <c r="K65" s="2"/>
      <c r="L65" s="2">
        <f t="shared" si="7"/>
        <v>-116985.24</v>
      </c>
      <c r="M65" s="2"/>
      <c r="N65" s="22">
        <f t="shared" si="8"/>
        <v>0</v>
      </c>
      <c r="O65" s="11"/>
      <c r="P65" s="2">
        <v>-282150.98</v>
      </c>
      <c r="Q65" s="2"/>
      <c r="R65" s="22">
        <f t="shared" si="9"/>
        <v>-0.3974781588165624</v>
      </c>
      <c r="S65" s="2"/>
      <c r="T65" s="2"/>
      <c r="U65" s="2"/>
      <c r="V65" s="22">
        <f t="shared" si="10"/>
        <v>0</v>
      </c>
      <c r="W65" s="2"/>
      <c r="X65" s="2">
        <f t="shared" si="11"/>
        <v>-282150.98</v>
      </c>
      <c r="Y65" s="2"/>
      <c r="Z65" s="22">
        <f t="shared" si="12"/>
        <v>0</v>
      </c>
    </row>
    <row r="66" spans="1:26" s="24" customFormat="1" hidden="1" outlineLevel="1" x14ac:dyDescent="0.25">
      <c r="A66" s="51"/>
      <c r="B66" s="11" t="str">
        <f>CONCATENATE("          ", "5300", " - ", "COG$ OFFSET")</f>
        <v xml:space="preserve">          5300 - COG$ OFFSET</v>
      </c>
      <c r="C66" s="11"/>
      <c r="D66" s="2">
        <v>46546</v>
      </c>
      <c r="E66" s="2"/>
      <c r="F66" s="22">
        <f t="shared" si="5"/>
        <v>0.55906175250593482</v>
      </c>
      <c r="G66" s="2"/>
      <c r="H66" s="2"/>
      <c r="I66" s="2"/>
      <c r="J66" s="22">
        <f t="shared" si="6"/>
        <v>0</v>
      </c>
      <c r="K66" s="2"/>
      <c r="L66" s="2">
        <f t="shared" si="7"/>
        <v>46546</v>
      </c>
      <c r="M66" s="2"/>
      <c r="N66" s="22">
        <f t="shared" si="8"/>
        <v>0</v>
      </c>
      <c r="O66" s="11"/>
      <c r="P66" s="2">
        <v>429803</v>
      </c>
      <c r="Q66" s="2"/>
      <c r="R66" s="22">
        <f t="shared" si="9"/>
        <v>0.60548187744673077</v>
      </c>
      <c r="S66" s="2"/>
      <c r="T66" s="2"/>
      <c r="U66" s="2"/>
      <c r="V66" s="22">
        <f t="shared" si="10"/>
        <v>0</v>
      </c>
      <c r="W66" s="2"/>
      <c r="X66" s="2">
        <f t="shared" si="11"/>
        <v>429803</v>
      </c>
      <c r="Y66" s="2"/>
      <c r="Z66" s="22">
        <f t="shared" si="12"/>
        <v>0</v>
      </c>
    </row>
    <row r="67" spans="1:26" s="24" customFormat="1" hidden="1" outlineLevel="1" x14ac:dyDescent="0.2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6.781687791915277E-5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2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22">
        <f t="shared" si="5"/>
        <v>0</v>
      </c>
      <c r="G68" s="2"/>
      <c r="H68" s="2"/>
      <c r="I68" s="2"/>
      <c r="J68" s="22">
        <f t="shared" si="6"/>
        <v>0</v>
      </c>
      <c r="K68" s="2"/>
      <c r="L68" s="2">
        <f t="shared" si="7"/>
        <v>0</v>
      </c>
      <c r="M68" s="2"/>
      <c r="N68" s="22">
        <f t="shared" si="8"/>
        <v>0</v>
      </c>
      <c r="O68" s="11"/>
      <c r="P68" s="2">
        <v>56</v>
      </c>
      <c r="Q68" s="2"/>
      <c r="R68" s="22">
        <f t="shared" si="9"/>
        <v>7.8889596249949218E-5</v>
      </c>
      <c r="S68" s="2"/>
      <c r="T68" s="2"/>
      <c r="U68" s="2"/>
      <c r="V68" s="22">
        <f t="shared" si="10"/>
        <v>0</v>
      </c>
      <c r="W68" s="2"/>
      <c r="X68" s="2">
        <f t="shared" si="11"/>
        <v>56</v>
      </c>
      <c r="Y68" s="2"/>
      <c r="Z68" s="22">
        <f t="shared" si="12"/>
        <v>0</v>
      </c>
    </row>
    <row r="69" spans="1:26" s="24" customFormat="1" hidden="1" outlineLevel="1" x14ac:dyDescent="0.25">
      <c r="A69" s="51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22">
        <f t="shared" si="5"/>
        <v>0</v>
      </c>
      <c r="G69" s="2"/>
      <c r="H69" s="2"/>
      <c r="I69" s="2"/>
      <c r="J69" s="22">
        <f t="shared" si="6"/>
        <v>0</v>
      </c>
      <c r="K69" s="2"/>
      <c r="L69" s="2">
        <f t="shared" si="7"/>
        <v>0</v>
      </c>
      <c r="M69" s="2"/>
      <c r="N69" s="22">
        <f t="shared" si="8"/>
        <v>0</v>
      </c>
      <c r="O69" s="11"/>
      <c r="P69" s="2">
        <v>3.94</v>
      </c>
      <c r="Q69" s="2"/>
      <c r="R69" s="22">
        <f t="shared" si="9"/>
        <v>5.5504465932999981E-6</v>
      </c>
      <c r="S69" s="2"/>
      <c r="T69" s="2"/>
      <c r="U69" s="2"/>
      <c r="V69" s="22">
        <f t="shared" si="10"/>
        <v>0</v>
      </c>
      <c r="W69" s="2"/>
      <c r="X69" s="2">
        <f t="shared" si="11"/>
        <v>3.94</v>
      </c>
      <c r="Y69" s="2"/>
      <c r="Z69" s="22">
        <f t="shared" si="12"/>
        <v>0</v>
      </c>
    </row>
    <row r="70" spans="1:26" s="24" customFormat="1" hidden="1" outlineLevel="1" x14ac:dyDescent="0.2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1333.15</v>
      </c>
      <c r="E70" s="2"/>
      <c r="F70" s="22">
        <f t="shared" si="5"/>
        <v>1.6012400106417031E-2</v>
      </c>
      <c r="G70" s="2"/>
      <c r="H70" s="2"/>
      <c r="I70" s="2"/>
      <c r="J70" s="22">
        <f t="shared" si="6"/>
        <v>0</v>
      </c>
      <c r="K70" s="2"/>
      <c r="L70" s="2">
        <f t="shared" si="7"/>
        <v>1333.15</v>
      </c>
      <c r="M70" s="2"/>
      <c r="N70" s="22">
        <f t="shared" si="8"/>
        <v>0</v>
      </c>
      <c r="O70" s="11"/>
      <c r="P70" s="2">
        <v>4535.4799999999996</v>
      </c>
      <c r="Q70" s="2"/>
      <c r="R70" s="22">
        <f t="shared" si="9"/>
        <v>6.3893247499949932E-3</v>
      </c>
      <c r="S70" s="2"/>
      <c r="T70" s="2"/>
      <c r="U70" s="2"/>
      <c r="V70" s="22">
        <f t="shared" si="10"/>
        <v>0</v>
      </c>
      <c r="W70" s="2"/>
      <c r="X70" s="2">
        <f t="shared" si="11"/>
        <v>4535.4799999999996</v>
      </c>
      <c r="Y70" s="2"/>
      <c r="Z70" s="22">
        <f t="shared" si="12"/>
        <v>0</v>
      </c>
    </row>
    <row r="71" spans="1:26" s="24" customFormat="1" hidden="1" outlineLevel="1" x14ac:dyDescent="0.2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301.06</v>
      </c>
      <c r="E71" s="2"/>
      <c r="F71" s="22">
        <f t="shared" si="5"/>
        <v>3.6160170843775354E-3</v>
      </c>
      <c r="G71" s="2"/>
      <c r="H71" s="2"/>
      <c r="I71" s="2"/>
      <c r="J71" s="22">
        <f t="shared" si="6"/>
        <v>0</v>
      </c>
      <c r="K71" s="2"/>
      <c r="L71" s="2">
        <f t="shared" si="7"/>
        <v>301.06</v>
      </c>
      <c r="M71" s="2"/>
      <c r="N71" s="22">
        <f t="shared" si="8"/>
        <v>0</v>
      </c>
      <c r="O71" s="11"/>
      <c r="P71" s="2">
        <v>1435.87</v>
      </c>
      <c r="Q71" s="2"/>
      <c r="R71" s="22">
        <f t="shared" si="9"/>
        <v>2.0227715101324029E-3</v>
      </c>
      <c r="S71" s="2"/>
      <c r="T71" s="2"/>
      <c r="U71" s="2"/>
      <c r="V71" s="22">
        <f t="shared" si="10"/>
        <v>0</v>
      </c>
      <c r="W71" s="2"/>
      <c r="X71" s="2">
        <f t="shared" si="11"/>
        <v>1435.87</v>
      </c>
      <c r="Y71" s="2"/>
      <c r="Z71" s="22">
        <f t="shared" si="12"/>
        <v>0</v>
      </c>
    </row>
    <row r="72" spans="1:26" s="24" customFormat="1" hidden="1" outlineLevel="1" x14ac:dyDescent="0.2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>
        <v>21</v>
      </c>
      <c r="E72" s="2"/>
      <c r="F72" s="22">
        <f t="shared" si="5"/>
        <v>2.5222998329877181E-4</v>
      </c>
      <c r="G72" s="2"/>
      <c r="H72" s="2"/>
      <c r="I72" s="2"/>
      <c r="J72" s="22">
        <f t="shared" si="6"/>
        <v>0</v>
      </c>
      <c r="K72" s="2"/>
      <c r="L72" s="2">
        <f t="shared" si="7"/>
        <v>21</v>
      </c>
      <c r="M72" s="2"/>
      <c r="N72" s="22">
        <f t="shared" si="8"/>
        <v>0</v>
      </c>
      <c r="O72" s="11"/>
      <c r="P72" s="2">
        <v>196.55</v>
      </c>
      <c r="Q72" s="2"/>
      <c r="R72" s="22">
        <f t="shared" si="9"/>
        <v>2.7688839540941998E-4</v>
      </c>
      <c r="S72" s="2"/>
      <c r="T72" s="2"/>
      <c r="U72" s="2"/>
      <c r="V72" s="22">
        <f t="shared" si="10"/>
        <v>0</v>
      </c>
      <c r="W72" s="2"/>
      <c r="X72" s="2">
        <f t="shared" si="11"/>
        <v>196.55</v>
      </c>
      <c r="Y72" s="2"/>
      <c r="Z72" s="22">
        <f t="shared" si="12"/>
        <v>0</v>
      </c>
    </row>
    <row r="73" spans="1:26" s="24" customFormat="1" hidden="1" outlineLevel="1" x14ac:dyDescent="0.2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6323.12</v>
      </c>
      <c r="E73" s="2"/>
      <c r="F73" s="22">
        <f t="shared" si="5"/>
        <v>7.5946688190291906E-2</v>
      </c>
      <c r="G73" s="2"/>
      <c r="H73" s="2"/>
      <c r="I73" s="2"/>
      <c r="J73" s="22">
        <f t="shared" si="6"/>
        <v>0</v>
      </c>
      <c r="K73" s="2"/>
      <c r="L73" s="2">
        <f t="shared" si="7"/>
        <v>6323.12</v>
      </c>
      <c r="M73" s="2"/>
      <c r="N73" s="22">
        <f t="shared" si="8"/>
        <v>0</v>
      </c>
      <c r="O73" s="11"/>
      <c r="P73" s="2">
        <v>6512.31</v>
      </c>
      <c r="Q73" s="2"/>
      <c r="R73" s="22">
        <f t="shared" si="9"/>
        <v>9.1741697599019064E-3</v>
      </c>
      <c r="S73" s="2"/>
      <c r="T73" s="2"/>
      <c r="U73" s="2"/>
      <c r="V73" s="22">
        <f t="shared" si="10"/>
        <v>0</v>
      </c>
      <c r="W73" s="2"/>
      <c r="X73" s="2">
        <f t="shared" si="11"/>
        <v>6512.31</v>
      </c>
      <c r="Y73" s="2"/>
      <c r="Z73" s="22">
        <f t="shared" si="12"/>
        <v>0</v>
      </c>
    </row>
    <row r="74" spans="1:26" s="24" customFormat="1" hidden="1" outlineLevel="1" x14ac:dyDescent="0.2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>
        <v>37.590000000000003</v>
      </c>
      <c r="E74" s="2"/>
      <c r="F74" s="22">
        <f t="shared" si="5"/>
        <v>4.5149167010480155E-4</v>
      </c>
      <c r="G74" s="2"/>
      <c r="H74" s="2"/>
      <c r="I74" s="2"/>
      <c r="J74" s="22">
        <f t="shared" si="6"/>
        <v>0</v>
      </c>
      <c r="K74" s="2"/>
      <c r="L74" s="2">
        <f t="shared" si="7"/>
        <v>37.590000000000003</v>
      </c>
      <c r="M74" s="2"/>
      <c r="N74" s="22">
        <f t="shared" si="8"/>
        <v>0</v>
      </c>
      <c r="O74" s="11"/>
      <c r="P74" s="2">
        <v>887.86</v>
      </c>
      <c r="Q74" s="2"/>
      <c r="R74" s="22">
        <f t="shared" si="9"/>
        <v>1.2507663736871413E-3</v>
      </c>
      <c r="S74" s="2"/>
      <c r="T74" s="2"/>
      <c r="U74" s="2"/>
      <c r="V74" s="22">
        <f t="shared" si="10"/>
        <v>0</v>
      </c>
      <c r="W74" s="2"/>
      <c r="X74" s="2">
        <f t="shared" si="11"/>
        <v>887.86</v>
      </c>
      <c r="Y74" s="2"/>
      <c r="Z74" s="22">
        <f t="shared" si="12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6</v>
      </c>
      <c r="C76" s="25"/>
      <c r="D76" s="21">
        <f>D12-D52</f>
        <v>36711.350000000006</v>
      </c>
      <c r="E76" s="13"/>
      <c r="F76" s="20">
        <f>IF(D$12=0,0,D76/D$12)</f>
        <v>0.44093824749406513</v>
      </c>
      <c r="G76" s="13"/>
      <c r="H76" s="21">
        <f>H12-H52</f>
        <v>152658</v>
      </c>
      <c r="I76" s="13"/>
      <c r="J76" s="20">
        <f>IF(H$12=0,0,H76/H$12)</f>
        <v>0.53749977994120024</v>
      </c>
      <c r="K76" s="16"/>
      <c r="L76" s="21">
        <f>+D76-H76</f>
        <v>-115946.65</v>
      </c>
      <c r="M76" s="16"/>
      <c r="N76" s="20">
        <f>IF(H76=0,0,L76/H76)</f>
        <v>-0.75951899016101343</v>
      </c>
      <c r="O76" s="26"/>
      <c r="P76" s="21">
        <f>P12-P52</f>
        <v>279133.25000000017</v>
      </c>
      <c r="Q76" s="13"/>
      <c r="R76" s="20">
        <f>IF(P$12=0,0,P76/P$12)</f>
        <v>0.39322695343635983</v>
      </c>
      <c r="S76" s="13"/>
      <c r="T76" s="21">
        <f>T12-T52</f>
        <v>738631</v>
      </c>
      <c r="U76" s="13"/>
      <c r="V76" s="20">
        <f>IF(T$12=0,0,T76/T$12)</f>
        <v>0.53749969072870141</v>
      </c>
      <c r="W76" s="16"/>
      <c r="X76" s="21">
        <f>+P76-T76</f>
        <v>-459497.74999999983</v>
      </c>
      <c r="Y76" s="16"/>
      <c r="Z76" s="20">
        <f>IF(T76=0,0,X76/T76)</f>
        <v>-0.62209377889636341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9</v>
      </c>
      <c r="C78" s="10"/>
      <c r="D78" s="19">
        <f>SUM(OSRRefD22x_0)</f>
        <v>35742.470000000008</v>
      </c>
      <c r="E78" s="19"/>
      <c r="F78" s="35">
        <f t="shared" ref="F78:F88" si="13">IF(D$12=0,0,D78/D$12)</f>
        <v>0.42930107672175499</v>
      </c>
      <c r="G78" s="19"/>
      <c r="H78" s="19">
        <f>SUM(OSRRefH22x_0)</f>
        <v>94476.2262730769</v>
      </c>
      <c r="I78" s="19"/>
      <c r="J78" s="35">
        <f t="shared" ref="J78:J88" si="14">IF(H$12=0,0,H78/H$12)</f>
        <v>0.33264519927847791</v>
      </c>
      <c r="K78" s="4"/>
      <c r="L78" s="19">
        <f t="shared" ref="L78:L88" si="15">+D78-H78</f>
        <v>-58733.756273076891</v>
      </c>
      <c r="M78" s="4"/>
      <c r="N78" s="35">
        <f t="shared" ref="N78:N88" si="16">IF(H78=0,0,L78/H78)</f>
        <v>-0.62167762822480965</v>
      </c>
      <c r="O78" s="10"/>
      <c r="P78" s="19">
        <f>SUM(OSRRefP22x_0)</f>
        <v>235709.82999999996</v>
      </c>
      <c r="Q78" s="19"/>
      <c r="R78" s="35">
        <f t="shared" ref="R78:R88" si="17">IF(P$12=0,0,P78/P$12)</f>
        <v>0.33205452358650295</v>
      </c>
      <c r="S78" s="19"/>
      <c r="T78" s="19">
        <f>SUM(OSRRefT22x_0)</f>
        <v>499563.65492192307</v>
      </c>
      <c r="U78" s="19"/>
      <c r="V78" s="35">
        <f t="shared" ref="V78:V88" si="18">IF(T$12=0,0,T78/T$12)</f>
        <v>0.36353105951392961</v>
      </c>
      <c r="W78" s="4"/>
      <c r="X78" s="19">
        <f t="shared" ref="X78:X88" si="19">+P78-T78</f>
        <v>-263853.82492192311</v>
      </c>
      <c r="Y78" s="4"/>
      <c r="Z78" s="35">
        <f t="shared" ref="Z78:Z88" si="20">IF(T78=0,0,X78/T78)</f>
        <v>-0.52816857736209988</v>
      </c>
    </row>
    <row r="79" spans="1:26" s="29" customFormat="1" outlineLevel="1" collapsed="1" x14ac:dyDescent="0.2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9715.380000000001</v>
      </c>
      <c r="E79" s="1"/>
      <c r="F79" s="5">
        <f t="shared" si="13"/>
        <v>0.11669095881624866</v>
      </c>
      <c r="G79" s="1"/>
      <c r="H79" s="1">
        <f>SUM(OSRRefH22_0x_0)</f>
        <v>11578.341657692303</v>
      </c>
      <c r="I79" s="1"/>
      <c r="J79" s="5">
        <f t="shared" si="14"/>
        <v>4.0766655485422611E-2</v>
      </c>
      <c r="K79" s="1"/>
      <c r="L79" s="1">
        <f t="shared" si="15"/>
        <v>-1862.9616576923017</v>
      </c>
      <c r="M79" s="1"/>
      <c r="N79" s="5">
        <f t="shared" si="16"/>
        <v>-0.16090056009485659</v>
      </c>
      <c r="O79" s="14"/>
      <c r="P79" s="1">
        <f>SUM(OSRRefP22_0x_0)</f>
        <v>52323.099999999991</v>
      </c>
      <c r="Q79" s="1"/>
      <c r="R79" s="5">
        <f t="shared" si="17"/>
        <v>7.3709789884744942E-2</v>
      </c>
      <c r="S79" s="1"/>
      <c r="T79" s="1">
        <f>SUM(OSRRefT22_0x_0)</f>
        <v>66073.539537307646</v>
      </c>
      <c r="U79" s="1"/>
      <c r="V79" s="5">
        <f t="shared" si="18"/>
        <v>4.8081527943795326E-2</v>
      </c>
      <c r="W79" s="1"/>
      <c r="X79" s="1">
        <f t="shared" si="19"/>
        <v>-13750.439537307655</v>
      </c>
      <c r="Y79" s="1"/>
      <c r="Z79" s="5">
        <f t="shared" si="20"/>
        <v>-0.20810811156171877</v>
      </c>
    </row>
    <row r="80" spans="1:26" s="24" customFormat="1" hidden="1" outlineLevel="2" x14ac:dyDescent="0.25">
      <c r="A80" s="28"/>
      <c r="B80" s="11" t="str">
        <f>CONCATENATE("          ", "6111", " - ", "F.I.C.A.")</f>
        <v xml:space="preserve">          6111 - F.I.C.A.</v>
      </c>
      <c r="C80" s="11"/>
      <c r="D80" s="6">
        <v>1667.2</v>
      </c>
      <c r="E80" s="2"/>
      <c r="F80" s="7">
        <f t="shared" si="13"/>
        <v>2.0024658483605351E-2</v>
      </c>
      <c r="G80" s="2"/>
      <c r="H80" s="6">
        <v>1461.07543846154</v>
      </c>
      <c r="I80" s="2"/>
      <c r="J80" s="7">
        <f t="shared" si="14"/>
        <v>5.1443601164077252E-3</v>
      </c>
      <c r="K80" s="2"/>
      <c r="L80" s="6">
        <f t="shared" si="15"/>
        <v>206.12456153846006</v>
      </c>
      <c r="M80" s="2"/>
      <c r="N80" s="7">
        <f t="shared" si="16"/>
        <v>0.14107728876443357</v>
      </c>
      <c r="O80" s="11"/>
      <c r="P80" s="6">
        <v>12656.57</v>
      </c>
      <c r="Q80" s="2"/>
      <c r="R80" s="7">
        <f t="shared" si="17"/>
        <v>1.7829851735878924E-2</v>
      </c>
      <c r="S80" s="2"/>
      <c r="T80" s="6">
        <v>13299.38045653846</v>
      </c>
      <c r="U80" s="2"/>
      <c r="V80" s="7">
        <f t="shared" si="18"/>
        <v>9.6779215633689322E-3</v>
      </c>
      <c r="W80" s="2"/>
      <c r="X80" s="6">
        <f t="shared" si="19"/>
        <v>-642.81045653846013</v>
      </c>
      <c r="Y80" s="2"/>
      <c r="Z80" s="7">
        <f t="shared" si="20"/>
        <v>-4.8333864772056437E-2</v>
      </c>
    </row>
    <row r="81" spans="1:26" s="24" customFormat="1" hidden="1" outlineLevel="2" x14ac:dyDescent="0.25">
      <c r="A81" s="28"/>
      <c r="B81" s="11" t="str">
        <f>CONCATENATE("          ", "6112", " - ", "COMPENSATION INSURANCE")</f>
        <v xml:space="preserve">          6112 - COMPENSATION INSURANCE</v>
      </c>
      <c r="C81" s="11"/>
      <c r="D81" s="6">
        <v>881.73</v>
      </c>
      <c r="E81" s="2"/>
      <c r="F81" s="7">
        <f t="shared" si="13"/>
        <v>1.0590416341620289E-2</v>
      </c>
      <c r="G81" s="2"/>
      <c r="H81" s="6">
        <v>1004.0142115384599</v>
      </c>
      <c r="I81" s="2"/>
      <c r="J81" s="7">
        <f t="shared" si="14"/>
        <v>3.5350745965475766E-3</v>
      </c>
      <c r="K81" s="2"/>
      <c r="L81" s="6">
        <f t="shared" si="15"/>
        <v>-122.28421153845989</v>
      </c>
      <c r="M81" s="2"/>
      <c r="N81" s="7">
        <f t="shared" si="16"/>
        <v>-0.12179529944210919</v>
      </c>
      <c r="O81" s="11"/>
      <c r="P81" s="6">
        <v>4810.38</v>
      </c>
      <c r="Q81" s="2"/>
      <c r="R81" s="7">
        <f t="shared" si="17"/>
        <v>6.7765881430148344E-3</v>
      </c>
      <c r="S81" s="2"/>
      <c r="T81" s="6">
        <v>5317.8612884615395</v>
      </c>
      <c r="U81" s="2"/>
      <c r="V81" s="7">
        <f t="shared" si="18"/>
        <v>3.8697926270170233E-3</v>
      </c>
      <c r="W81" s="2"/>
      <c r="X81" s="6">
        <f t="shared" si="19"/>
        <v>-507.48128846153941</v>
      </c>
      <c r="Y81" s="2"/>
      <c r="Z81" s="7">
        <f t="shared" si="20"/>
        <v>-9.5429583611488678E-2</v>
      </c>
    </row>
    <row r="82" spans="1:26" s="24" customFormat="1" hidden="1" outlineLevel="2" x14ac:dyDescent="0.25">
      <c r="A82" s="28"/>
      <c r="B82" s="11" t="str">
        <f>CONCATENATE("          ", "6113", " - ", "GROUP INSURANCE")</f>
        <v xml:space="preserve">          6113 - GROUP INSURANCE</v>
      </c>
      <c r="C82" s="11"/>
      <c r="D82" s="6">
        <v>2826.13</v>
      </c>
      <c r="E82" s="2"/>
      <c r="F82" s="7">
        <f t="shared" si="13"/>
        <v>3.3944510604769426E-2</v>
      </c>
      <c r="G82" s="2"/>
      <c r="H82" s="6">
        <v>4968.8461538461497</v>
      </c>
      <c r="I82" s="2"/>
      <c r="J82" s="7">
        <f t="shared" si="14"/>
        <v>1.7495013129046527E-2</v>
      </c>
      <c r="K82" s="2"/>
      <c r="L82" s="6">
        <f t="shared" si="15"/>
        <v>-2142.7161538461496</v>
      </c>
      <c r="M82" s="2"/>
      <c r="N82" s="7">
        <f t="shared" si="16"/>
        <v>-0.43123012617075573</v>
      </c>
      <c r="O82" s="11"/>
      <c r="P82" s="6">
        <v>14966.87</v>
      </c>
      <c r="Q82" s="2"/>
      <c r="R82" s="7">
        <f t="shared" si="17"/>
        <v>2.1084470204026384E-2</v>
      </c>
      <c r="S82" s="2"/>
      <c r="T82" s="6">
        <v>25151.153846153829</v>
      </c>
      <c r="U82" s="2"/>
      <c r="V82" s="7">
        <f t="shared" si="18"/>
        <v>1.8302423556251595E-2</v>
      </c>
      <c r="W82" s="2"/>
      <c r="X82" s="6">
        <f t="shared" si="19"/>
        <v>-10184.283846153829</v>
      </c>
      <c r="Y82" s="2"/>
      <c r="Z82" s="7">
        <f t="shared" si="20"/>
        <v>-0.40492312632850569</v>
      </c>
    </row>
    <row r="83" spans="1:26" s="24" customFormat="1" hidden="1" outlineLevel="2" x14ac:dyDescent="0.25">
      <c r="A83" s="28"/>
      <c r="B83" s="11" t="str">
        <f>CONCATENATE("          ", "6114", " - ", "STATE UNEMPLOYMENT INSURANCE")</f>
        <v xml:space="preserve">          6114 - STATE UNEMPLOYMENT INSURANCE</v>
      </c>
      <c r="C83" s="11"/>
      <c r="D83" s="6">
        <v>123.92</v>
      </c>
      <c r="E83" s="2"/>
      <c r="F83" s="7">
        <f t="shared" si="13"/>
        <v>1.4883971204944669E-3</v>
      </c>
      <c r="G83" s="2"/>
      <c r="H83" s="6">
        <v>141.10470000000001</v>
      </c>
      <c r="I83" s="2"/>
      <c r="J83" s="7">
        <f t="shared" si="14"/>
        <v>4.9682129464993048E-4</v>
      </c>
      <c r="K83" s="2"/>
      <c r="L83" s="6">
        <f t="shared" si="15"/>
        <v>-17.184700000000007</v>
      </c>
      <c r="M83" s="2"/>
      <c r="N83" s="7">
        <f t="shared" si="16"/>
        <v>-0.12178687173425128</v>
      </c>
      <c r="O83" s="11"/>
      <c r="P83" s="6">
        <v>502.28</v>
      </c>
      <c r="Q83" s="2"/>
      <c r="R83" s="7">
        <f t="shared" si="17"/>
        <v>7.0758332865043729E-4</v>
      </c>
      <c r="S83" s="2"/>
      <c r="T83" s="6">
        <v>747.37509999999997</v>
      </c>
      <c r="U83" s="2"/>
      <c r="V83" s="7">
        <f t="shared" si="18"/>
        <v>5.4386274758077072E-4</v>
      </c>
      <c r="W83" s="2"/>
      <c r="X83" s="6">
        <f t="shared" si="19"/>
        <v>-245.0951</v>
      </c>
      <c r="Y83" s="2"/>
      <c r="Z83" s="7">
        <f t="shared" si="20"/>
        <v>-0.32794121720137587</v>
      </c>
    </row>
    <row r="84" spans="1:26" s="24" customFormat="1" hidden="1" outlineLevel="2" x14ac:dyDescent="0.25">
      <c r="A84" s="28"/>
      <c r="B84" s="11" t="str">
        <f>CONCATENATE("          ", "6115", " - ", "P.E.R.S.")</f>
        <v xml:space="preserve">          6115 - P.E.R.S.</v>
      </c>
      <c r="C84" s="11"/>
      <c r="D84" s="6">
        <v>1942.92</v>
      </c>
      <c r="E84" s="2"/>
      <c r="F84" s="7">
        <f t="shared" si="13"/>
        <v>2.3336318054802369E-2</v>
      </c>
      <c r="G84" s="2"/>
      <c r="H84" s="6">
        <v>1141.3523076923102</v>
      </c>
      <c r="I84" s="2"/>
      <c r="J84" s="7">
        <f t="shared" si="14"/>
        <v>4.0186339020555611E-3</v>
      </c>
      <c r="K84" s="2"/>
      <c r="L84" s="6">
        <f t="shared" si="15"/>
        <v>801.56769230768987</v>
      </c>
      <c r="M84" s="2"/>
      <c r="N84" s="7">
        <f t="shared" si="16"/>
        <v>0.70229646613530949</v>
      </c>
      <c r="O84" s="11"/>
      <c r="P84" s="6">
        <v>7760.28</v>
      </c>
      <c r="Q84" s="2"/>
      <c r="R84" s="7">
        <f t="shared" si="17"/>
        <v>1.0932238499759927E-2</v>
      </c>
      <c r="S84" s="2"/>
      <c r="T84" s="6">
        <v>6277.4376923076907</v>
      </c>
      <c r="U84" s="2"/>
      <c r="V84" s="7">
        <f t="shared" si="18"/>
        <v>4.5680736635533526E-3</v>
      </c>
      <c r="W84" s="2"/>
      <c r="X84" s="6">
        <f t="shared" si="19"/>
        <v>1482.8423076923091</v>
      </c>
      <c r="Y84" s="2"/>
      <c r="Z84" s="7">
        <f t="shared" si="20"/>
        <v>0.23621776596992261</v>
      </c>
    </row>
    <row r="85" spans="1:26" s="24" customFormat="1" hidden="1" outlineLevel="2" x14ac:dyDescent="0.25">
      <c r="A85" s="28"/>
      <c r="B85" s="11" t="str">
        <f>CONCATENATE("          ", "6116", " - ", "EDUCATIONAL BENEFITS")</f>
        <v xml:space="preserve">          6116 - EDUCATIONAL BENEFITS</v>
      </c>
      <c r="C85" s="11"/>
      <c r="D85" s="6"/>
      <c r="E85" s="2"/>
      <c r="F85" s="7">
        <f t="shared" si="13"/>
        <v>0</v>
      </c>
      <c r="G85" s="2"/>
      <c r="H85" s="6">
        <v>0</v>
      </c>
      <c r="I85" s="2"/>
      <c r="J85" s="7">
        <f t="shared" si="14"/>
        <v>0</v>
      </c>
      <c r="K85" s="2"/>
      <c r="L85" s="6">
        <f t="shared" si="15"/>
        <v>0</v>
      </c>
      <c r="M85" s="2"/>
      <c r="N85" s="7">
        <f t="shared" si="16"/>
        <v>0</v>
      </c>
      <c r="O85" s="11"/>
      <c r="P85" s="6"/>
      <c r="Q85" s="2"/>
      <c r="R85" s="7">
        <f t="shared" si="17"/>
        <v>0</v>
      </c>
      <c r="S85" s="2"/>
      <c r="T85" s="6">
        <v>0</v>
      </c>
      <c r="U85" s="2"/>
      <c r="V85" s="7">
        <f t="shared" si="18"/>
        <v>0</v>
      </c>
      <c r="W85" s="2"/>
      <c r="X85" s="6">
        <f t="shared" si="19"/>
        <v>0</v>
      </c>
      <c r="Y85" s="2"/>
      <c r="Z85" s="7">
        <f t="shared" si="20"/>
        <v>0</v>
      </c>
    </row>
    <row r="86" spans="1:26" s="24" customFormat="1" hidden="1" outlineLevel="2" x14ac:dyDescent="0.25">
      <c r="A86" s="28"/>
      <c r="B86" s="11" t="str">
        <f>CONCATENATE("          ", "6118", " - ", "VACATION")</f>
        <v xml:space="preserve">          6118 - VACATION</v>
      </c>
      <c r="C86" s="11"/>
      <c r="D86" s="6">
        <v>1160.5</v>
      </c>
      <c r="E86" s="2"/>
      <c r="F86" s="7">
        <f t="shared" si="13"/>
        <v>1.3938709315153557E-2</v>
      </c>
      <c r="G86" s="2"/>
      <c r="H86" s="6">
        <v>855.57692307692298</v>
      </c>
      <c r="I86" s="2"/>
      <c r="J86" s="7">
        <f t="shared" si="14"/>
        <v>3.0124356920476839E-3</v>
      </c>
      <c r="K86" s="2"/>
      <c r="L86" s="6">
        <f t="shared" si="15"/>
        <v>304.92307692307702</v>
      </c>
      <c r="M86" s="2"/>
      <c r="N86" s="7">
        <f t="shared" si="16"/>
        <v>0.35639469543717706</v>
      </c>
      <c r="O86" s="11"/>
      <c r="P86" s="6">
        <v>5830.49</v>
      </c>
      <c r="Q86" s="2"/>
      <c r="R86" s="7">
        <f t="shared" si="17"/>
        <v>8.2136607507029714E-3</v>
      </c>
      <c r="S86" s="2"/>
      <c r="T86" s="6">
        <v>4705.6730769230689</v>
      </c>
      <c r="U86" s="2"/>
      <c r="V86" s="7">
        <f t="shared" si="18"/>
        <v>3.4243049960217299E-3</v>
      </c>
      <c r="W86" s="2"/>
      <c r="X86" s="6">
        <f t="shared" si="19"/>
        <v>1124.8169230769308</v>
      </c>
      <c r="Y86" s="2"/>
      <c r="Z86" s="7">
        <f t="shared" si="20"/>
        <v>0.23903422628169968</v>
      </c>
    </row>
    <row r="87" spans="1:26" s="24" customFormat="1" hidden="1" outlineLevel="2" x14ac:dyDescent="0.25">
      <c r="A87" s="28"/>
      <c r="B87" s="11" t="str">
        <f>CONCATENATE("          ", "6119", " - ", "SICK LEAVE")</f>
        <v xml:space="preserve">          6119 - SICK LEAVE</v>
      </c>
      <c r="C87" s="11"/>
      <c r="D87" s="6">
        <v>785.39</v>
      </c>
      <c r="E87" s="2"/>
      <c r="F87" s="7">
        <f t="shared" si="13"/>
        <v>9.4332812658582087E-3</v>
      </c>
      <c r="G87" s="2"/>
      <c r="H87" s="6">
        <v>1306.3719230769202</v>
      </c>
      <c r="I87" s="2"/>
      <c r="J87" s="7">
        <f t="shared" si="14"/>
        <v>4.5996581979012383E-3</v>
      </c>
      <c r="K87" s="2"/>
      <c r="L87" s="6">
        <f t="shared" si="15"/>
        <v>-520.98192307692022</v>
      </c>
      <c r="M87" s="2"/>
      <c r="N87" s="7">
        <f t="shared" si="16"/>
        <v>-0.39880061250079729</v>
      </c>
      <c r="O87" s="11"/>
      <c r="P87" s="6">
        <v>4234.7299999999996</v>
      </c>
      <c r="Q87" s="2"/>
      <c r="R87" s="7">
        <f t="shared" si="17"/>
        <v>5.9656453558490606E-3</v>
      </c>
      <c r="S87" s="2"/>
      <c r="T87" s="6">
        <v>7074.6580769230604</v>
      </c>
      <c r="U87" s="2"/>
      <c r="V87" s="7">
        <f t="shared" si="18"/>
        <v>5.1482086838454582E-3</v>
      </c>
      <c r="W87" s="2"/>
      <c r="X87" s="6">
        <f t="shared" si="19"/>
        <v>-2839.9280769230609</v>
      </c>
      <c r="Y87" s="2"/>
      <c r="Z87" s="7">
        <f t="shared" si="20"/>
        <v>-0.40142266185084863</v>
      </c>
    </row>
    <row r="88" spans="1:26" s="24" customFormat="1" hidden="1" outlineLevel="2" x14ac:dyDescent="0.25">
      <c r="A88" s="28"/>
      <c r="B88" s="11" t="str">
        <f>CONCATENATE("          ", "6156", " - ", "EMPLOYEE MEALS")</f>
        <v xml:space="preserve">          6156 - EMPLOYEE MEALS</v>
      </c>
      <c r="C88" s="11"/>
      <c r="D88" s="6">
        <v>327.58999999999997</v>
      </c>
      <c r="E88" s="2"/>
      <c r="F88" s="7">
        <f t="shared" si="13"/>
        <v>3.9346676299449835E-3</v>
      </c>
      <c r="G88" s="2"/>
      <c r="H88" s="6">
        <v>700</v>
      </c>
      <c r="I88" s="2"/>
      <c r="J88" s="7">
        <f t="shared" si="14"/>
        <v>2.464658556766368E-3</v>
      </c>
      <c r="K88" s="2"/>
      <c r="L88" s="6">
        <f t="shared" si="15"/>
        <v>-372.41</v>
      </c>
      <c r="M88" s="2"/>
      <c r="N88" s="7">
        <f t="shared" si="16"/>
        <v>-0.53201428571428577</v>
      </c>
      <c r="O88" s="11"/>
      <c r="P88" s="6">
        <v>1561.5</v>
      </c>
      <c r="Q88" s="2"/>
      <c r="R88" s="7">
        <f t="shared" si="17"/>
        <v>2.1997518668624232E-3</v>
      </c>
      <c r="S88" s="2"/>
      <c r="T88" s="6">
        <v>3500</v>
      </c>
      <c r="U88" s="2"/>
      <c r="V88" s="7">
        <f t="shared" si="18"/>
        <v>2.5469401061564635E-3</v>
      </c>
      <c r="W88" s="2"/>
      <c r="X88" s="6">
        <f t="shared" si="19"/>
        <v>-1938.5</v>
      </c>
      <c r="Y88" s="2"/>
      <c r="Z88" s="7">
        <f t="shared" si="20"/>
        <v>-0.55385714285714283</v>
      </c>
    </row>
    <row r="89" spans="1:26" s="29" customFormat="1" outlineLevel="1" collapsed="1" x14ac:dyDescent="0.2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24334.95</v>
      </c>
      <c r="E89" s="1"/>
      <c r="F89" s="5">
        <f t="shared" ref="F89:F99" si="21">IF(D$12=0,0,D89/D$12)</f>
        <v>0.29228590628935464</v>
      </c>
      <c r="G89" s="1"/>
      <c r="H89" s="1">
        <f>SUM(OSRRefH22_1x_0)</f>
        <v>52460.884615384595</v>
      </c>
      <c r="I89" s="1"/>
      <c r="J89" s="5">
        <f t="shared" ref="J89:J99" si="22">IF(H$12=0,0,H89/H$12)</f>
        <v>0.18471166880405823</v>
      </c>
      <c r="K89" s="1"/>
      <c r="L89" s="1">
        <f t="shared" ref="L89:L99" si="23">+D89-H89</f>
        <v>-28125.934615384595</v>
      </c>
      <c r="M89" s="1"/>
      <c r="N89" s="5">
        <f t="shared" ref="N89:N99" si="24">IF(H89=0,0,L89/H89)</f>
        <v>-0.53613153536371039</v>
      </c>
      <c r="O89" s="14"/>
      <c r="P89" s="1">
        <f>SUM(OSRRefP22_1x_0)</f>
        <v>144499.00999999998</v>
      </c>
      <c r="Q89" s="1"/>
      <c r="R89" s="5">
        <f t="shared" ref="R89:R99" si="25">IF(P$12=0,0,P89/P$12)</f>
        <v>0.20356193852531024</v>
      </c>
      <c r="S89" s="1"/>
      <c r="T89" s="1">
        <f>SUM(OSRRefT22_1x_0)</f>
        <v>277496.11538461538</v>
      </c>
      <c r="U89" s="1"/>
      <c r="V89" s="5">
        <f t="shared" ref="V89:V99" si="26">IF(T$12=0,0,T89/T$12)</f>
        <v>0.20193313873591387</v>
      </c>
      <c r="W89" s="1"/>
      <c r="X89" s="1">
        <f t="shared" ref="X89:X99" si="27">+P89-T89</f>
        <v>-132997.1053846154</v>
      </c>
      <c r="Y89" s="1"/>
      <c r="Z89" s="5">
        <f t="shared" ref="Z89:Z99" si="28">IF(T89=0,0,X89/T89)</f>
        <v>-0.47927555742637568</v>
      </c>
    </row>
    <row r="90" spans="1:26" s="24" customFormat="1" hidden="1" outlineLevel="2" x14ac:dyDescent="0.25">
      <c r="A90" s="28"/>
      <c r="B90" s="11" t="str">
        <f>CONCATENATE("          ", "6001", " - ", "ADMINISTRATIVE SALARIES")</f>
        <v xml:space="preserve">          6001 - ADMINISTRATIVE SALARIES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/>
      <c r="Q90" s="2"/>
      <c r="R90" s="7">
        <f t="shared" si="25"/>
        <v>0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0</v>
      </c>
      <c r="Y90" s="2"/>
      <c r="Z90" s="7">
        <f t="shared" si="28"/>
        <v>0</v>
      </c>
    </row>
    <row r="91" spans="1:26" s="24" customFormat="1" hidden="1" outlineLevel="2" x14ac:dyDescent="0.25">
      <c r="A91" s="28"/>
      <c r="B91" s="11" t="str">
        <f>CONCATENATE("          ", "6002", " - ", "STAFF SALARIES")</f>
        <v xml:space="preserve">          6002 - STAFF SALARIES</v>
      </c>
      <c r="C91" s="11"/>
      <c r="D91" s="6">
        <v>10484.01</v>
      </c>
      <c r="E91" s="2"/>
      <c r="F91" s="7">
        <f t="shared" si="21"/>
        <v>0.12592293653353126</v>
      </c>
      <c r="G91" s="2"/>
      <c r="H91" s="6">
        <v>11944.384615384599</v>
      </c>
      <c r="I91" s="2"/>
      <c r="J91" s="7">
        <f t="shared" si="22"/>
        <v>4.2055471068023161E-2</v>
      </c>
      <c r="K91" s="2"/>
      <c r="L91" s="6">
        <f t="shared" si="23"/>
        <v>-1460.3746153845987</v>
      </c>
      <c r="M91" s="2"/>
      <c r="N91" s="7">
        <f t="shared" si="24"/>
        <v>-0.12226453370428209</v>
      </c>
      <c r="O91" s="11"/>
      <c r="P91" s="6">
        <v>61330.060000000005</v>
      </c>
      <c r="Q91" s="2"/>
      <c r="R91" s="7">
        <f t="shared" si="25"/>
        <v>8.6398279846163592E-2</v>
      </c>
      <c r="S91" s="2"/>
      <c r="T91" s="6">
        <v>65694.11538461539</v>
      </c>
      <c r="U91" s="2"/>
      <c r="V91" s="7">
        <f t="shared" si="26"/>
        <v>4.7805422060442082E-2</v>
      </c>
      <c r="W91" s="2"/>
      <c r="X91" s="6">
        <f t="shared" si="27"/>
        <v>-4364.0553846153853</v>
      </c>
      <c r="Y91" s="2"/>
      <c r="Z91" s="7">
        <f t="shared" si="28"/>
        <v>-6.6429928450446624E-2</v>
      </c>
    </row>
    <row r="92" spans="1:26" s="24" customFormat="1" hidden="1" outlineLevel="2" x14ac:dyDescent="0.25">
      <c r="A92" s="28"/>
      <c r="B92" s="11" t="str">
        <f>CONCATENATE("          ", "6003", " - ", "STAFF HOURLY-9 MONTH")</f>
        <v xml:space="preserve">          6003 - STAFF HOURLY-9 MONTH</v>
      </c>
      <c r="C92" s="11"/>
      <c r="D92" s="6"/>
      <c r="E92" s="2"/>
      <c r="F92" s="7">
        <f t="shared" si="21"/>
        <v>0</v>
      </c>
      <c r="G92" s="2"/>
      <c r="H92" s="6">
        <v>0</v>
      </c>
      <c r="I92" s="2"/>
      <c r="J92" s="7">
        <f t="shared" si="22"/>
        <v>0</v>
      </c>
      <c r="K92" s="2"/>
      <c r="L92" s="6">
        <f t="shared" si="23"/>
        <v>0</v>
      </c>
      <c r="M92" s="2"/>
      <c r="N92" s="7">
        <f t="shared" si="24"/>
        <v>0</v>
      </c>
      <c r="O92" s="11"/>
      <c r="P92" s="6"/>
      <c r="Q92" s="2"/>
      <c r="R92" s="7">
        <f t="shared" si="25"/>
        <v>0</v>
      </c>
      <c r="S92" s="2"/>
      <c r="T92" s="6">
        <v>0</v>
      </c>
      <c r="U92" s="2"/>
      <c r="V92" s="7">
        <f t="shared" si="26"/>
        <v>0</v>
      </c>
      <c r="W92" s="2"/>
      <c r="X92" s="6">
        <f t="shared" si="27"/>
        <v>0</v>
      </c>
      <c r="Y92" s="2"/>
      <c r="Z92" s="7">
        <f t="shared" si="28"/>
        <v>0</v>
      </c>
    </row>
    <row r="93" spans="1:26" s="24" customFormat="1" hidden="1" outlineLevel="2" x14ac:dyDescent="0.25">
      <c r="A93" s="28"/>
      <c r="B93" s="11" t="str">
        <f>CONCATENATE("          ", "6004", " - ", "STAFF HOURLY")</f>
        <v xml:space="preserve">          6004 - STAFF HOURLY</v>
      </c>
      <c r="C93" s="11"/>
      <c r="D93" s="6">
        <v>4738.05</v>
      </c>
      <c r="E93" s="2"/>
      <c r="F93" s="7">
        <f t="shared" si="21"/>
        <v>5.6908489160416464E-2</v>
      </c>
      <c r="G93" s="2"/>
      <c r="H93" s="6">
        <v>5337</v>
      </c>
      <c r="I93" s="2"/>
      <c r="J93" s="7">
        <f t="shared" si="22"/>
        <v>1.8791261024945865E-2</v>
      </c>
      <c r="K93" s="2"/>
      <c r="L93" s="6">
        <f t="shared" si="23"/>
        <v>-598.94999999999982</v>
      </c>
      <c r="M93" s="2"/>
      <c r="N93" s="7">
        <f t="shared" si="24"/>
        <v>-0.11222596964586844</v>
      </c>
      <c r="O93" s="11"/>
      <c r="P93" s="6">
        <v>35687.06</v>
      </c>
      <c r="Q93" s="2"/>
      <c r="R93" s="7">
        <f t="shared" si="25"/>
        <v>5.0273888477637724E-2</v>
      </c>
      <c r="S93" s="2"/>
      <c r="T93" s="6">
        <v>29353.5</v>
      </c>
      <c r="U93" s="2"/>
      <c r="V93" s="7">
        <f t="shared" si="26"/>
        <v>2.1360458973161071E-2</v>
      </c>
      <c r="W93" s="2"/>
      <c r="X93" s="6">
        <f t="shared" si="27"/>
        <v>6333.5599999999977</v>
      </c>
      <c r="Y93" s="2"/>
      <c r="Z93" s="7">
        <f t="shared" si="28"/>
        <v>0.21576847735363747</v>
      </c>
    </row>
    <row r="94" spans="1:26" s="24" customFormat="1" hidden="1" outlineLevel="2" x14ac:dyDescent="0.25">
      <c r="A94" s="28"/>
      <c r="B94" s="11" t="str">
        <f>CONCATENATE("          ", "6005", " - ", "TEMPORARY WAGES-HOURLY")</f>
        <v xml:space="preserve">          6005 - TEMPORARY WAGES-HOURLY</v>
      </c>
      <c r="C94" s="11"/>
      <c r="D94" s="6">
        <v>3585.74</v>
      </c>
      <c r="E94" s="2"/>
      <c r="F94" s="7">
        <f t="shared" si="21"/>
        <v>4.3068149538749427E-2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3585.74</v>
      </c>
      <c r="M94" s="2"/>
      <c r="N94" s="7">
        <f t="shared" si="24"/>
        <v>0</v>
      </c>
      <c r="O94" s="11"/>
      <c r="P94" s="6">
        <v>19539.240000000002</v>
      </c>
      <c r="Q94" s="2"/>
      <c r="R94" s="7">
        <f t="shared" si="25"/>
        <v>2.7525763475551034E-2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19539.240000000002</v>
      </c>
      <c r="Y94" s="2"/>
      <c r="Z94" s="7">
        <f t="shared" si="28"/>
        <v>0</v>
      </c>
    </row>
    <row r="95" spans="1:26" s="24" customFormat="1" hidden="1" outlineLevel="2" x14ac:dyDescent="0.25">
      <c r="A95" s="28"/>
      <c r="B95" s="11" t="str">
        <f>CONCATENATE("          ", "6006", " - ", "TEMPORARY PART TIME")</f>
        <v xml:space="preserve">          6006 - TEMPORARY PART TIME</v>
      </c>
      <c r="C95" s="11"/>
      <c r="D95" s="6"/>
      <c r="E95" s="2"/>
      <c r="F95" s="7">
        <f t="shared" si="21"/>
        <v>0</v>
      </c>
      <c r="G95" s="2"/>
      <c r="H95" s="6">
        <v>0</v>
      </c>
      <c r="I95" s="2"/>
      <c r="J95" s="7">
        <f t="shared" si="22"/>
        <v>0</v>
      </c>
      <c r="K95" s="2"/>
      <c r="L95" s="6">
        <f t="shared" si="23"/>
        <v>0</v>
      </c>
      <c r="M95" s="2"/>
      <c r="N95" s="7">
        <f t="shared" si="24"/>
        <v>0</v>
      </c>
      <c r="O95" s="11"/>
      <c r="P95" s="6"/>
      <c r="Q95" s="2"/>
      <c r="R95" s="7">
        <f t="shared" si="25"/>
        <v>0</v>
      </c>
      <c r="S95" s="2"/>
      <c r="T95" s="6">
        <v>0</v>
      </c>
      <c r="U95" s="2"/>
      <c r="V95" s="7">
        <f t="shared" si="26"/>
        <v>0</v>
      </c>
      <c r="W95" s="2"/>
      <c r="X95" s="6">
        <f t="shared" si="27"/>
        <v>0</v>
      </c>
      <c r="Y95" s="2"/>
      <c r="Z95" s="7">
        <f t="shared" si="28"/>
        <v>0</v>
      </c>
    </row>
    <row r="96" spans="1:26" s="24" customFormat="1" hidden="1" outlineLevel="2" x14ac:dyDescent="0.25">
      <c r="A96" s="28"/>
      <c r="B96" s="11" t="str">
        <f>CONCATENATE("          ", "6007", " - ", "STUDENT HOURLY")</f>
        <v xml:space="preserve">          6007 - STUDENT HOURLY</v>
      </c>
      <c r="C96" s="11"/>
      <c r="D96" s="6">
        <v>4914.46</v>
      </c>
      <c r="E96" s="2"/>
      <c r="F96" s="7">
        <f t="shared" si="21"/>
        <v>5.9027341129642003E-2</v>
      </c>
      <c r="G96" s="2"/>
      <c r="H96" s="6">
        <v>0</v>
      </c>
      <c r="I96" s="2"/>
      <c r="J96" s="7">
        <f t="shared" si="22"/>
        <v>0</v>
      </c>
      <c r="K96" s="2"/>
      <c r="L96" s="6">
        <f t="shared" si="23"/>
        <v>4914.46</v>
      </c>
      <c r="M96" s="2"/>
      <c r="N96" s="7">
        <f t="shared" si="24"/>
        <v>0</v>
      </c>
      <c r="O96" s="11"/>
      <c r="P96" s="6">
        <v>25360.129999999997</v>
      </c>
      <c r="Q96" s="2"/>
      <c r="R96" s="7">
        <f t="shared" si="25"/>
        <v>3.5725900295468294E-2</v>
      </c>
      <c r="S96" s="2"/>
      <c r="T96" s="6">
        <v>68776.5</v>
      </c>
      <c r="U96" s="2"/>
      <c r="V96" s="7">
        <f t="shared" si="26"/>
        <v>5.0048464631734291E-2</v>
      </c>
      <c r="W96" s="2"/>
      <c r="X96" s="6">
        <f t="shared" si="27"/>
        <v>-43416.37</v>
      </c>
      <c r="Y96" s="2"/>
      <c r="Z96" s="7">
        <f t="shared" si="28"/>
        <v>-0.63126751143195714</v>
      </c>
    </row>
    <row r="97" spans="1:26" s="24" customFormat="1" hidden="1" outlineLevel="2" x14ac:dyDescent="0.25">
      <c r="A97" s="28"/>
      <c r="B97" s="11" t="str">
        <f>CONCATENATE("          ", "6008", " - ", "STUDENT HOURLY-FICA EXEMPT")</f>
        <v xml:space="preserve">          6008 - STUDENT HOURLY-FICA EXEMPT</v>
      </c>
      <c r="C97" s="11"/>
      <c r="D97" s="6">
        <v>612.69000000000005</v>
      </c>
      <c r="E97" s="2"/>
      <c r="F97" s="7">
        <f t="shared" si="21"/>
        <v>7.3589899270154529E-3</v>
      </c>
      <c r="G97" s="2"/>
      <c r="H97" s="6">
        <v>35179.5</v>
      </c>
      <c r="I97" s="2"/>
      <c r="J97" s="7">
        <f t="shared" si="22"/>
        <v>0.1238649367110892</v>
      </c>
      <c r="K97" s="2"/>
      <c r="L97" s="6">
        <f t="shared" si="23"/>
        <v>-34566.81</v>
      </c>
      <c r="M97" s="2"/>
      <c r="N97" s="7">
        <f t="shared" si="24"/>
        <v>-0.98258389118662848</v>
      </c>
      <c r="O97" s="11"/>
      <c r="P97" s="6">
        <v>2582.52</v>
      </c>
      <c r="Q97" s="2"/>
      <c r="R97" s="7">
        <f t="shared" si="25"/>
        <v>3.6381064304896221E-3</v>
      </c>
      <c r="S97" s="2"/>
      <c r="T97" s="6">
        <v>113672</v>
      </c>
      <c r="U97" s="2"/>
      <c r="V97" s="7">
        <f t="shared" si="26"/>
        <v>8.2718793070576432E-2</v>
      </c>
      <c r="W97" s="2"/>
      <c r="X97" s="6">
        <f t="shared" si="27"/>
        <v>-111089.48</v>
      </c>
      <c r="Y97" s="2"/>
      <c r="Z97" s="7">
        <f t="shared" si="28"/>
        <v>-0.97728094869448934</v>
      </c>
    </row>
    <row r="98" spans="1:26" s="24" customFormat="1" hidden="1" outlineLevel="2" x14ac:dyDescent="0.25">
      <c r="A98" s="28"/>
      <c r="B98" s="11" t="str">
        <f>CONCATENATE("          ", "6009", " - ", "TEMPORARY-SEASONAL")</f>
        <v xml:space="preserve">          6009 - TEMPORARY-SEASONAL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4" customFormat="1" hidden="1" outlineLevel="2" x14ac:dyDescent="0.25">
      <c r="A99" s="28"/>
      <c r="B99" s="11" t="str">
        <f>CONCATENATE("          ", "6010", " - ", "GRATUITY")</f>
        <v xml:space="preserve">          6010 - GRATUITY</v>
      </c>
      <c r="C99" s="11"/>
      <c r="D99" s="6"/>
      <c r="E99" s="2"/>
      <c r="F99" s="7">
        <f t="shared" si="21"/>
        <v>0</v>
      </c>
      <c r="G99" s="2"/>
      <c r="H99" s="6">
        <v>0</v>
      </c>
      <c r="I99" s="2"/>
      <c r="J99" s="7">
        <f t="shared" si="22"/>
        <v>0</v>
      </c>
      <c r="K99" s="2"/>
      <c r="L99" s="6">
        <f t="shared" si="23"/>
        <v>0</v>
      </c>
      <c r="M99" s="2"/>
      <c r="N99" s="7">
        <f t="shared" si="24"/>
        <v>0</v>
      </c>
      <c r="O99" s="11"/>
      <c r="P99" s="6"/>
      <c r="Q99" s="2"/>
      <c r="R99" s="7">
        <f t="shared" si="25"/>
        <v>0</v>
      </c>
      <c r="S99" s="2"/>
      <c r="T99" s="6">
        <v>0</v>
      </c>
      <c r="U99" s="2"/>
      <c r="V99" s="7">
        <f t="shared" si="26"/>
        <v>0</v>
      </c>
      <c r="W99" s="2"/>
      <c r="X99" s="6">
        <f t="shared" si="27"/>
        <v>0</v>
      </c>
      <c r="Y99" s="2"/>
      <c r="Z99" s="7">
        <f t="shared" si="28"/>
        <v>0</v>
      </c>
    </row>
    <row r="100" spans="1:26" s="29" customFormat="1" outlineLevel="1" collapsed="1" x14ac:dyDescent="0.2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513.5</v>
      </c>
      <c r="E100" s="1"/>
      <c r="F100" s="5">
        <f t="shared" ref="F100:F112" si="29">IF(D$12=0,0,D100/D$12)</f>
        <v>6.1676236392342538E-3</v>
      </c>
      <c r="G100" s="1"/>
      <c r="H100" s="1">
        <f>SUM(OSRRefH22_2x_0)</f>
        <v>580</v>
      </c>
      <c r="I100" s="1"/>
      <c r="J100" s="5">
        <f t="shared" ref="J100:J112" si="30">IF(H$12=0,0,H100/H$12)</f>
        <v>2.0421456613207048E-3</v>
      </c>
      <c r="K100" s="1"/>
      <c r="L100" s="1">
        <f t="shared" ref="L100:L112" si="31">+D100-H100</f>
        <v>-66.5</v>
      </c>
      <c r="M100" s="1"/>
      <c r="N100" s="5">
        <f t="shared" ref="N100:N112" si="32">IF(H100=0,0,L100/H100)</f>
        <v>-0.1146551724137931</v>
      </c>
      <c r="O100" s="14"/>
      <c r="P100" s="1">
        <f>SUM(OSRRefP22_2x_0)</f>
        <v>11802.65</v>
      </c>
      <c r="Q100" s="1"/>
      <c r="R100" s="5">
        <f t="shared" ref="R100:R112" si="33">IF(P$12=0,0,P100/P$12)</f>
        <v>1.6626898092490412E-2</v>
      </c>
      <c r="S100" s="1"/>
      <c r="T100" s="1">
        <f>SUM(OSRRefT22_2x_0)</f>
        <v>3400</v>
      </c>
      <c r="U100" s="1"/>
      <c r="V100" s="5">
        <f t="shared" ref="V100:V112" si="34">IF(T$12=0,0,T100/T$12)</f>
        <v>2.4741703888377076E-3</v>
      </c>
      <c r="W100" s="1"/>
      <c r="X100" s="1">
        <f t="shared" ref="X100:X112" si="35">+P100-T100</f>
        <v>8402.65</v>
      </c>
      <c r="Y100" s="1"/>
      <c r="Z100" s="5">
        <f t="shared" ref="Z100:Z112" si="36">IF(T100=0,0,X100/T100)</f>
        <v>2.4713676470588233</v>
      </c>
    </row>
    <row r="101" spans="1:26" s="24" customFormat="1" hidden="1" outlineLevel="2" x14ac:dyDescent="0.25">
      <c r="A101" s="28"/>
      <c r="B101" s="11" t="str">
        <f>CONCATENATE("          ", "6362", " - ", "ADVERTISING EXPENSE")</f>
        <v xml:space="preserve">          6362 - ADVERTISING EXPENSE</v>
      </c>
      <c r="C101" s="11"/>
      <c r="D101" s="6">
        <v>513.5</v>
      </c>
      <c r="E101" s="2"/>
      <c r="F101" s="7">
        <f t="shared" si="29"/>
        <v>6.1676236392342538E-3</v>
      </c>
      <c r="G101" s="2"/>
      <c r="H101" s="6">
        <v>580</v>
      </c>
      <c r="I101" s="2"/>
      <c r="J101" s="7">
        <f t="shared" si="30"/>
        <v>2.0421456613207048E-3</v>
      </c>
      <c r="K101" s="2"/>
      <c r="L101" s="6">
        <f t="shared" si="31"/>
        <v>-66.5</v>
      </c>
      <c r="M101" s="2"/>
      <c r="N101" s="7">
        <f t="shared" si="32"/>
        <v>-0.1146551724137931</v>
      </c>
      <c r="O101" s="11"/>
      <c r="P101" s="6">
        <v>11802.65</v>
      </c>
      <c r="Q101" s="2"/>
      <c r="R101" s="7">
        <f t="shared" si="33"/>
        <v>1.6626898092490412E-2</v>
      </c>
      <c r="S101" s="2"/>
      <c r="T101" s="6">
        <v>3400</v>
      </c>
      <c r="U101" s="2"/>
      <c r="V101" s="7">
        <f t="shared" si="34"/>
        <v>2.4741703888377076E-3</v>
      </c>
      <c r="W101" s="2"/>
      <c r="X101" s="6">
        <f t="shared" si="35"/>
        <v>8402.65</v>
      </c>
      <c r="Y101" s="2"/>
      <c r="Z101" s="7">
        <f t="shared" si="36"/>
        <v>2.4713676470588233</v>
      </c>
    </row>
    <row r="102" spans="1:26" s="29" customFormat="1" outlineLevel="1" collapsed="1" x14ac:dyDescent="0.2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0</v>
      </c>
      <c r="E102" s="1"/>
      <c r="F102" s="5">
        <f t="shared" si="29"/>
        <v>0</v>
      </c>
      <c r="G102" s="1"/>
      <c r="H102" s="1">
        <f>SUM(OSRRefH22_3x_0)</f>
        <v>0</v>
      </c>
      <c r="I102" s="1"/>
      <c r="J102" s="5">
        <f t="shared" si="30"/>
        <v>0</v>
      </c>
      <c r="K102" s="1"/>
      <c r="L102" s="1">
        <f t="shared" si="31"/>
        <v>0</v>
      </c>
      <c r="M102" s="1"/>
      <c r="N102" s="5">
        <f t="shared" si="32"/>
        <v>0</v>
      </c>
      <c r="O102" s="14"/>
      <c r="P102" s="1">
        <f>SUM(OSRRefP22_3x_0)</f>
        <v>0</v>
      </c>
      <c r="Q102" s="1"/>
      <c r="R102" s="5">
        <f t="shared" si="33"/>
        <v>0</v>
      </c>
      <c r="S102" s="1"/>
      <c r="T102" s="1">
        <f>SUM(OSRRefT22_3x_0)</f>
        <v>0</v>
      </c>
      <c r="U102" s="1"/>
      <c r="V102" s="5">
        <f t="shared" si="34"/>
        <v>0</v>
      </c>
      <c r="W102" s="1"/>
      <c r="X102" s="1">
        <f t="shared" si="35"/>
        <v>0</v>
      </c>
      <c r="Y102" s="1"/>
      <c r="Z102" s="5">
        <f t="shared" si="36"/>
        <v>0</v>
      </c>
    </row>
    <row r="103" spans="1:26" s="24" customFormat="1" hidden="1" outlineLevel="2" x14ac:dyDescent="0.25">
      <c r="A103" s="28"/>
      <c r="B103" s="11" t="str">
        <f>CONCATENATE("          ", "6272", " - ", "CASH (OVER/SHORT)")</f>
        <v xml:space="preserve">          6272 - CASH (OVER/SHORT)</v>
      </c>
      <c r="C103" s="11"/>
      <c r="D103" s="6"/>
      <c r="E103" s="2"/>
      <c r="F103" s="7">
        <f t="shared" si="29"/>
        <v>0</v>
      </c>
      <c r="G103" s="2"/>
      <c r="H103" s="6">
        <v>0</v>
      </c>
      <c r="I103" s="2"/>
      <c r="J103" s="7">
        <f t="shared" si="30"/>
        <v>0</v>
      </c>
      <c r="K103" s="2"/>
      <c r="L103" s="6">
        <f t="shared" si="31"/>
        <v>0</v>
      </c>
      <c r="M103" s="2"/>
      <c r="N103" s="7">
        <f t="shared" si="32"/>
        <v>0</v>
      </c>
      <c r="O103" s="11"/>
      <c r="P103" s="6"/>
      <c r="Q103" s="2"/>
      <c r="R103" s="7">
        <f t="shared" si="33"/>
        <v>0</v>
      </c>
      <c r="S103" s="2"/>
      <c r="T103" s="6">
        <v>0</v>
      </c>
      <c r="U103" s="2"/>
      <c r="V103" s="7">
        <f t="shared" si="34"/>
        <v>0</v>
      </c>
      <c r="W103" s="2"/>
      <c r="X103" s="6">
        <f t="shared" si="35"/>
        <v>0</v>
      </c>
      <c r="Y103" s="2"/>
      <c r="Z103" s="7">
        <f t="shared" si="36"/>
        <v>0</v>
      </c>
    </row>
    <row r="104" spans="1:26" s="29" customFormat="1" outlineLevel="1" collapsed="1" x14ac:dyDescent="0.2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0</v>
      </c>
      <c r="E104" s="1"/>
      <c r="F104" s="5">
        <f t="shared" si="29"/>
        <v>0</v>
      </c>
      <c r="G104" s="1"/>
      <c r="H104" s="1">
        <f>SUM(OSRRefH22_4x_0)</f>
        <v>0</v>
      </c>
      <c r="I104" s="1"/>
      <c r="J104" s="5">
        <f t="shared" si="30"/>
        <v>0</v>
      </c>
      <c r="K104" s="1"/>
      <c r="L104" s="1">
        <f t="shared" si="31"/>
        <v>0</v>
      </c>
      <c r="M104" s="1"/>
      <c r="N104" s="5">
        <f t="shared" si="32"/>
        <v>0</v>
      </c>
      <c r="O104" s="14"/>
      <c r="P104" s="1">
        <f>SUM(OSRRefP22_4x_0)</f>
        <v>0</v>
      </c>
      <c r="Q104" s="1"/>
      <c r="R104" s="5">
        <f t="shared" si="33"/>
        <v>0</v>
      </c>
      <c r="S104" s="1"/>
      <c r="T104" s="1">
        <f>SUM(OSRRefT22_4x_0)</f>
        <v>0</v>
      </c>
      <c r="U104" s="1"/>
      <c r="V104" s="5">
        <f t="shared" si="34"/>
        <v>0</v>
      </c>
      <c r="W104" s="1"/>
      <c r="X104" s="1">
        <f t="shared" si="35"/>
        <v>0</v>
      </c>
      <c r="Y104" s="1"/>
      <c r="Z104" s="5">
        <f t="shared" si="36"/>
        <v>0</v>
      </c>
    </row>
    <row r="105" spans="1:26" s="24" customFormat="1" hidden="1" outlineLevel="2" x14ac:dyDescent="0.25">
      <c r="A105" s="28"/>
      <c r="B105" s="11" t="str">
        <f>CONCATENATE("          ", "6381", " - ", "BANK/CREDIT CARD FEES")</f>
        <v xml:space="preserve">          6381 - BANK/CREDIT CARD FEES</v>
      </c>
      <c r="C105" s="11"/>
      <c r="D105" s="6"/>
      <c r="E105" s="2"/>
      <c r="F105" s="7">
        <f t="shared" si="29"/>
        <v>0</v>
      </c>
      <c r="G105" s="2"/>
      <c r="H105" s="6">
        <v>0</v>
      </c>
      <c r="I105" s="2"/>
      <c r="J105" s="7">
        <f t="shared" si="30"/>
        <v>0</v>
      </c>
      <c r="K105" s="2"/>
      <c r="L105" s="6">
        <f t="shared" si="31"/>
        <v>0</v>
      </c>
      <c r="M105" s="2"/>
      <c r="N105" s="7">
        <f t="shared" si="32"/>
        <v>0</v>
      </c>
      <c r="O105" s="11"/>
      <c r="P105" s="6"/>
      <c r="Q105" s="2"/>
      <c r="R105" s="7">
        <f t="shared" si="33"/>
        <v>0</v>
      </c>
      <c r="S105" s="2"/>
      <c r="T105" s="6">
        <v>0</v>
      </c>
      <c r="U105" s="2"/>
      <c r="V105" s="7">
        <f t="shared" si="34"/>
        <v>0</v>
      </c>
      <c r="W105" s="2"/>
      <c r="X105" s="6">
        <f t="shared" si="35"/>
        <v>0</v>
      </c>
      <c r="Y105" s="2"/>
      <c r="Z105" s="7">
        <f t="shared" si="36"/>
        <v>0</v>
      </c>
    </row>
    <row r="106" spans="1:26" s="29" customFormat="1" outlineLevel="1" collapsed="1" x14ac:dyDescent="0.2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21301</v>
      </c>
      <c r="I106" s="1"/>
      <c r="J106" s="5">
        <f t="shared" si="30"/>
        <v>7.4999559882400577E-2</v>
      </c>
      <c r="K106" s="1"/>
      <c r="L106" s="1">
        <f t="shared" si="31"/>
        <v>-21301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103064</v>
      </c>
      <c r="U106" s="1"/>
      <c r="V106" s="5">
        <f t="shared" si="34"/>
        <v>7.4999381457402786E-2</v>
      </c>
      <c r="W106" s="1"/>
      <c r="X106" s="1">
        <f t="shared" si="35"/>
        <v>-103064</v>
      </c>
      <c r="Y106" s="1"/>
      <c r="Z106" s="5">
        <f t="shared" si="36"/>
        <v>-1</v>
      </c>
    </row>
    <row r="107" spans="1:26" s="24" customFormat="1" hidden="1" outlineLevel="2" x14ac:dyDescent="0.25">
      <c r="A107" s="28"/>
      <c r="B107" s="11" t="str">
        <f>CONCATENATE("          ", "6382", " - ", "DISCOUNTS/MARK DOWNS")</f>
        <v xml:space="preserve">          6382 - DISCOUNTS/MARK DOWNS</v>
      </c>
      <c r="C107" s="11"/>
      <c r="D107" s="6"/>
      <c r="E107" s="2"/>
      <c r="F107" s="7">
        <f t="shared" si="29"/>
        <v>0</v>
      </c>
      <c r="G107" s="2"/>
      <c r="H107" s="6">
        <v>21301</v>
      </c>
      <c r="I107" s="2"/>
      <c r="J107" s="7">
        <f t="shared" si="30"/>
        <v>7.4999559882400577E-2</v>
      </c>
      <c r="K107" s="2"/>
      <c r="L107" s="6">
        <f t="shared" si="31"/>
        <v>-21301</v>
      </c>
      <c r="M107" s="2"/>
      <c r="N107" s="7">
        <f t="shared" si="32"/>
        <v>-1</v>
      </c>
      <c r="O107" s="11"/>
      <c r="P107" s="6"/>
      <c r="Q107" s="2"/>
      <c r="R107" s="7">
        <f t="shared" si="33"/>
        <v>0</v>
      </c>
      <c r="S107" s="2"/>
      <c r="T107" s="6">
        <v>103064</v>
      </c>
      <c r="U107" s="2"/>
      <c r="V107" s="7">
        <f t="shared" si="34"/>
        <v>7.4999381457402786E-2</v>
      </c>
      <c r="W107" s="2"/>
      <c r="X107" s="6">
        <f t="shared" si="35"/>
        <v>-103064</v>
      </c>
      <c r="Y107" s="2"/>
      <c r="Z107" s="7">
        <f t="shared" si="36"/>
        <v>-1</v>
      </c>
    </row>
    <row r="108" spans="1:26" s="29" customFormat="1" outlineLevel="1" collapsed="1" x14ac:dyDescent="0.25">
      <c r="A108" s="27"/>
      <c r="B108" s="14" t="str">
        <f>CONCATENATE("     ","Employees' Appreciation                           ")</f>
        <v xml:space="preserve">     Employees' Appreciation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150</v>
      </c>
      <c r="I108" s="1"/>
      <c r="J108" s="5">
        <f t="shared" si="30"/>
        <v>5.2814111930707885E-4</v>
      </c>
      <c r="K108" s="1"/>
      <c r="L108" s="1">
        <f t="shared" si="31"/>
        <v>-150</v>
      </c>
      <c r="M108" s="1"/>
      <c r="N108" s="5">
        <f t="shared" si="32"/>
        <v>-1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750</v>
      </c>
      <c r="U108" s="1"/>
      <c r="V108" s="5">
        <f t="shared" si="34"/>
        <v>5.4577287989067077E-4</v>
      </c>
      <c r="W108" s="1"/>
      <c r="X108" s="1">
        <f t="shared" si="35"/>
        <v>-750</v>
      </c>
      <c r="Y108" s="1"/>
      <c r="Z108" s="5">
        <f t="shared" si="36"/>
        <v>-1</v>
      </c>
    </row>
    <row r="109" spans="1:26" s="24" customFormat="1" hidden="1" outlineLevel="2" x14ac:dyDescent="0.25">
      <c r="A109" s="28"/>
      <c r="B109" s="11" t="str">
        <f>CONCATENATE("          ", "6277", " - ", "EMPLOYEE APPRECIATION")</f>
        <v xml:space="preserve">          6277 - EMPLOYEE APPRECIATION</v>
      </c>
      <c r="C109" s="11"/>
      <c r="D109" s="6"/>
      <c r="E109" s="2"/>
      <c r="F109" s="7">
        <f t="shared" si="29"/>
        <v>0</v>
      </c>
      <c r="G109" s="2"/>
      <c r="H109" s="6">
        <v>150</v>
      </c>
      <c r="I109" s="2"/>
      <c r="J109" s="7">
        <f t="shared" si="30"/>
        <v>5.2814111930707885E-4</v>
      </c>
      <c r="K109" s="2"/>
      <c r="L109" s="6">
        <f t="shared" si="31"/>
        <v>-150</v>
      </c>
      <c r="M109" s="2"/>
      <c r="N109" s="7">
        <f t="shared" si="32"/>
        <v>-1</v>
      </c>
      <c r="O109" s="11"/>
      <c r="P109" s="6"/>
      <c r="Q109" s="2"/>
      <c r="R109" s="7">
        <f t="shared" si="33"/>
        <v>0</v>
      </c>
      <c r="S109" s="2"/>
      <c r="T109" s="6">
        <v>750</v>
      </c>
      <c r="U109" s="2"/>
      <c r="V109" s="7">
        <f t="shared" si="34"/>
        <v>5.4577287989067077E-4</v>
      </c>
      <c r="W109" s="2"/>
      <c r="X109" s="6">
        <f t="shared" si="35"/>
        <v>-750</v>
      </c>
      <c r="Y109" s="2"/>
      <c r="Z109" s="7">
        <f t="shared" si="36"/>
        <v>-1</v>
      </c>
    </row>
    <row r="110" spans="1:26" s="29" customFormat="1" outlineLevel="1" collapsed="1" x14ac:dyDescent="0.25">
      <c r="A110" s="27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SUM(OSRRefD22_7x_0)</f>
        <v>0</v>
      </c>
      <c r="E110" s="1"/>
      <c r="F110" s="5">
        <f t="shared" si="29"/>
        <v>0</v>
      </c>
      <c r="G110" s="1"/>
      <c r="H110" s="1">
        <f>SUM(OSRRefH22_7x_0)</f>
        <v>10</v>
      </c>
      <c r="I110" s="1"/>
      <c r="J110" s="5">
        <f t="shared" si="30"/>
        <v>3.520940795380526E-5</v>
      </c>
      <c r="K110" s="1"/>
      <c r="L110" s="1">
        <f t="shared" si="31"/>
        <v>-10</v>
      </c>
      <c r="M110" s="1"/>
      <c r="N110" s="5">
        <f t="shared" si="32"/>
        <v>-1</v>
      </c>
      <c r="O110" s="14"/>
      <c r="P110" s="1">
        <f>SUM(OSRRefP22_7x_0)</f>
        <v>91.96</v>
      </c>
      <c r="Q110" s="1"/>
      <c r="R110" s="5">
        <f t="shared" si="33"/>
        <v>1.2954798698473804E-4</v>
      </c>
      <c r="S110" s="1"/>
      <c r="T110" s="1">
        <f>SUM(OSRRefT22_7x_0)</f>
        <v>50</v>
      </c>
      <c r="U110" s="1"/>
      <c r="V110" s="5">
        <f t="shared" si="34"/>
        <v>3.6384858659378052E-5</v>
      </c>
      <c r="W110" s="1"/>
      <c r="X110" s="1">
        <f t="shared" si="35"/>
        <v>41.959999999999994</v>
      </c>
      <c r="Y110" s="1"/>
      <c r="Z110" s="5">
        <f t="shared" si="36"/>
        <v>0.83919999999999983</v>
      </c>
    </row>
    <row r="111" spans="1:26" s="24" customFormat="1" hidden="1" outlineLevel="2" x14ac:dyDescent="0.25">
      <c r="A111" s="28"/>
      <c r="B111" s="11" t="str">
        <f>CONCATENATE("          ", "6305", " - ", "FREIGHT OUT")</f>
        <v xml:space="preserve">          6305 - FREIGHT OUT</v>
      </c>
      <c r="C111" s="11"/>
      <c r="D111" s="6"/>
      <c r="E111" s="2"/>
      <c r="F111" s="7">
        <f t="shared" si="29"/>
        <v>0</v>
      </c>
      <c r="G111" s="2"/>
      <c r="H111" s="6"/>
      <c r="I111" s="2"/>
      <c r="J111" s="7">
        <f t="shared" si="30"/>
        <v>0</v>
      </c>
      <c r="K111" s="2"/>
      <c r="L111" s="6">
        <f t="shared" si="31"/>
        <v>0</v>
      </c>
      <c r="M111" s="2"/>
      <c r="N111" s="7">
        <f t="shared" si="32"/>
        <v>0</v>
      </c>
      <c r="O111" s="11"/>
      <c r="P111" s="6">
        <v>91.96</v>
      </c>
      <c r="Q111" s="2"/>
      <c r="R111" s="7">
        <f t="shared" si="33"/>
        <v>1.2954798698473804E-4</v>
      </c>
      <c r="S111" s="2"/>
      <c r="T111" s="6"/>
      <c r="U111" s="2"/>
      <c r="V111" s="7">
        <f t="shared" si="34"/>
        <v>0</v>
      </c>
      <c r="W111" s="2"/>
      <c r="X111" s="6">
        <f t="shared" si="35"/>
        <v>91.96</v>
      </c>
      <c r="Y111" s="2"/>
      <c r="Z111" s="7">
        <f t="shared" si="36"/>
        <v>0</v>
      </c>
    </row>
    <row r="112" spans="1:26" s="24" customFormat="1" hidden="1" outlineLevel="2" x14ac:dyDescent="0.25">
      <c r="A112" s="28"/>
      <c r="B112" s="11" t="str">
        <f>CONCATENATE("          ", "6307", " - ", "POSTAGE")</f>
        <v xml:space="preserve">          6307 - POSTAGE</v>
      </c>
      <c r="C112" s="11"/>
      <c r="D112" s="6"/>
      <c r="E112" s="2"/>
      <c r="F112" s="7">
        <f t="shared" si="29"/>
        <v>0</v>
      </c>
      <c r="G112" s="2"/>
      <c r="H112" s="6">
        <v>10</v>
      </c>
      <c r="I112" s="2"/>
      <c r="J112" s="7">
        <f t="shared" si="30"/>
        <v>3.520940795380526E-5</v>
      </c>
      <c r="K112" s="2"/>
      <c r="L112" s="6">
        <f t="shared" si="31"/>
        <v>-10</v>
      </c>
      <c r="M112" s="2"/>
      <c r="N112" s="7">
        <f t="shared" si="32"/>
        <v>-1</v>
      </c>
      <c r="O112" s="11"/>
      <c r="P112" s="6"/>
      <c r="Q112" s="2"/>
      <c r="R112" s="7">
        <f t="shared" si="33"/>
        <v>0</v>
      </c>
      <c r="S112" s="2"/>
      <c r="T112" s="6">
        <v>50</v>
      </c>
      <c r="U112" s="2"/>
      <c r="V112" s="7">
        <f t="shared" si="34"/>
        <v>3.6384858659378052E-5</v>
      </c>
      <c r="W112" s="2"/>
      <c r="X112" s="6">
        <f t="shared" si="35"/>
        <v>-50</v>
      </c>
      <c r="Y112" s="2"/>
      <c r="Z112" s="7">
        <f t="shared" si="36"/>
        <v>-1</v>
      </c>
    </row>
    <row r="113" spans="1:26" s="29" customFormat="1" outlineLevel="1" collapsed="1" x14ac:dyDescent="0.25">
      <c r="A113" s="27"/>
      <c r="B113" s="14" t="str">
        <f>CONCATENATE("     ","General                                           ")</f>
        <v xml:space="preserve">     General                                           </v>
      </c>
      <c r="C113" s="14"/>
      <c r="D113" s="1">
        <f>SUM(OSRRefD22_8x_0)</f>
        <v>0</v>
      </c>
      <c r="E113" s="1"/>
      <c r="F113" s="5">
        <f t="shared" ref="F113:F124" si="37">IF(D$12=0,0,D113/D$12)</f>
        <v>0</v>
      </c>
      <c r="G113" s="1"/>
      <c r="H113" s="1">
        <f>SUM(OSRRefH22_8x_0)</f>
        <v>0</v>
      </c>
      <c r="I113" s="1"/>
      <c r="J113" s="5">
        <f t="shared" ref="J113:J124" si="38">IF(H$12=0,0,H113/H$12)</f>
        <v>0</v>
      </c>
      <c r="K113" s="1"/>
      <c r="L113" s="1">
        <f t="shared" ref="L113:L124" si="39">+D113-H113</f>
        <v>0</v>
      </c>
      <c r="M113" s="1"/>
      <c r="N113" s="5">
        <f t="shared" ref="N113:N124" si="40">IF(H113=0,0,L113/H113)</f>
        <v>0</v>
      </c>
      <c r="O113" s="14"/>
      <c r="P113" s="1">
        <f>SUM(OSRRefP22_8x_0)</f>
        <v>0</v>
      </c>
      <c r="Q113" s="1"/>
      <c r="R113" s="5">
        <f t="shared" ref="R113:R124" si="41">IF(P$12=0,0,P113/P$12)</f>
        <v>0</v>
      </c>
      <c r="S113" s="1"/>
      <c r="T113" s="1">
        <f>SUM(OSRRefT22_8x_0)</f>
        <v>0</v>
      </c>
      <c r="U113" s="1"/>
      <c r="V113" s="5">
        <f t="shared" ref="V113:V124" si="42">IF(T$12=0,0,T113/T$12)</f>
        <v>0</v>
      </c>
      <c r="W113" s="1"/>
      <c r="X113" s="1">
        <f t="shared" ref="X113:X124" si="43">+P113-T113</f>
        <v>0</v>
      </c>
      <c r="Y113" s="1"/>
      <c r="Z113" s="5">
        <f t="shared" ref="Z113:Z124" si="44">IF(T113=0,0,X113/T113)</f>
        <v>0</v>
      </c>
    </row>
    <row r="114" spans="1:26" s="24" customFormat="1" hidden="1" outlineLevel="2" x14ac:dyDescent="0.25">
      <c r="A114" s="28"/>
      <c r="B114" s="11" t="str">
        <f>CONCATENATE("          ", "6279", " - ", "GENERAL EXPENSE")</f>
        <v xml:space="preserve">          6279 - GENERAL EXPENSE</v>
      </c>
      <c r="C114" s="11"/>
      <c r="D114" s="6"/>
      <c r="E114" s="2"/>
      <c r="F114" s="7">
        <f t="shared" si="37"/>
        <v>0</v>
      </c>
      <c r="G114" s="2"/>
      <c r="H114" s="6">
        <v>0</v>
      </c>
      <c r="I114" s="2"/>
      <c r="J114" s="7">
        <f t="shared" si="38"/>
        <v>0</v>
      </c>
      <c r="K114" s="2"/>
      <c r="L114" s="6">
        <f t="shared" si="39"/>
        <v>0</v>
      </c>
      <c r="M114" s="2"/>
      <c r="N114" s="7">
        <f t="shared" si="40"/>
        <v>0</v>
      </c>
      <c r="O114" s="11"/>
      <c r="P114" s="6"/>
      <c r="Q114" s="2"/>
      <c r="R114" s="7">
        <f t="shared" si="41"/>
        <v>0</v>
      </c>
      <c r="S114" s="2"/>
      <c r="T114" s="6">
        <v>0</v>
      </c>
      <c r="U114" s="2"/>
      <c r="V114" s="7">
        <f t="shared" si="42"/>
        <v>0</v>
      </c>
      <c r="W114" s="2"/>
      <c r="X114" s="6">
        <f t="shared" si="43"/>
        <v>0</v>
      </c>
      <c r="Y114" s="2"/>
      <c r="Z114" s="7">
        <f t="shared" si="44"/>
        <v>0</v>
      </c>
    </row>
    <row r="115" spans="1:26" s="29" customFormat="1" outlineLevel="1" collapsed="1" x14ac:dyDescent="0.25">
      <c r="A115" s="27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SUM(OSRRefD22_9x_0)</f>
        <v>1000</v>
      </c>
      <c r="E115" s="1"/>
      <c r="F115" s="5">
        <f t="shared" si="37"/>
        <v>1.2010951585655801E-2</v>
      </c>
      <c r="G115" s="1"/>
      <c r="H115" s="1">
        <f>SUM(OSRRefH22_9x_0)</f>
        <v>1000</v>
      </c>
      <c r="I115" s="1"/>
      <c r="J115" s="5">
        <f t="shared" si="38"/>
        <v>3.5209407953805255E-3</v>
      </c>
      <c r="K115" s="1"/>
      <c r="L115" s="1">
        <f t="shared" si="39"/>
        <v>0</v>
      </c>
      <c r="M115" s="1"/>
      <c r="N115" s="5">
        <f t="shared" si="40"/>
        <v>0</v>
      </c>
      <c r="O115" s="14"/>
      <c r="P115" s="1">
        <f>SUM(OSRRefP22_9x_0)</f>
        <v>5000</v>
      </c>
      <c r="Q115" s="1"/>
      <c r="R115" s="5">
        <f t="shared" si="41"/>
        <v>7.043713950888323E-3</v>
      </c>
      <c r="S115" s="1"/>
      <c r="T115" s="1">
        <f>SUM(OSRRefT22_9x_0)</f>
        <v>5000</v>
      </c>
      <c r="U115" s="1"/>
      <c r="V115" s="5">
        <f t="shared" si="42"/>
        <v>3.6384858659378053E-3</v>
      </c>
      <c r="W115" s="1"/>
      <c r="X115" s="1">
        <f t="shared" si="43"/>
        <v>0</v>
      </c>
      <c r="Y115" s="1"/>
      <c r="Z115" s="5">
        <f t="shared" si="44"/>
        <v>0</v>
      </c>
    </row>
    <row r="116" spans="1:26" s="24" customFormat="1" hidden="1" outlineLevel="2" x14ac:dyDescent="0.25">
      <c r="A116" s="28"/>
      <c r="B116" s="11" t="str">
        <f>CONCATENATE("          ", "6408", " - ", "INVENTORY ADJUSTMENT")</f>
        <v xml:space="preserve">          6408 - INVENTORY ADJUSTMENT</v>
      </c>
      <c r="C116" s="11"/>
      <c r="D116" s="6">
        <v>1000</v>
      </c>
      <c r="E116" s="2"/>
      <c r="F116" s="7">
        <f t="shared" si="37"/>
        <v>1.2010951585655801E-2</v>
      </c>
      <c r="G116" s="2"/>
      <c r="H116" s="6">
        <v>1000</v>
      </c>
      <c r="I116" s="2"/>
      <c r="J116" s="7">
        <f t="shared" si="38"/>
        <v>3.5209407953805255E-3</v>
      </c>
      <c r="K116" s="2"/>
      <c r="L116" s="6">
        <f t="shared" si="39"/>
        <v>0</v>
      </c>
      <c r="M116" s="2"/>
      <c r="N116" s="7">
        <f t="shared" si="40"/>
        <v>0</v>
      </c>
      <c r="O116" s="11"/>
      <c r="P116" s="6">
        <v>5000</v>
      </c>
      <c r="Q116" s="2"/>
      <c r="R116" s="7">
        <f t="shared" si="41"/>
        <v>7.043713950888323E-3</v>
      </c>
      <c r="S116" s="2"/>
      <c r="T116" s="6">
        <v>5000</v>
      </c>
      <c r="U116" s="2"/>
      <c r="V116" s="7">
        <f t="shared" si="42"/>
        <v>3.6384858659378053E-3</v>
      </c>
      <c r="W116" s="2"/>
      <c r="X116" s="6">
        <f t="shared" si="43"/>
        <v>0</v>
      </c>
      <c r="Y116" s="2"/>
      <c r="Z116" s="7">
        <f t="shared" si="44"/>
        <v>0</v>
      </c>
    </row>
    <row r="117" spans="1:26" s="29" customFormat="1" outlineLevel="1" collapsed="1" x14ac:dyDescent="0.25">
      <c r="A117" s="27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SUM(OSRRefD22_10x_0)</f>
        <v>0</v>
      </c>
      <c r="E117" s="1"/>
      <c r="F117" s="5">
        <f t="shared" si="37"/>
        <v>0</v>
      </c>
      <c r="G117" s="1"/>
      <c r="H117" s="1">
        <f>SUM(OSRRefH22_10x_0)</f>
        <v>0</v>
      </c>
      <c r="I117" s="1"/>
      <c r="J117" s="5">
        <f t="shared" si="38"/>
        <v>0</v>
      </c>
      <c r="K117" s="1"/>
      <c r="L117" s="1">
        <f t="shared" si="39"/>
        <v>0</v>
      </c>
      <c r="M117" s="1"/>
      <c r="N117" s="5">
        <f t="shared" si="40"/>
        <v>0</v>
      </c>
      <c r="O117" s="14"/>
      <c r="P117" s="1">
        <f>SUM(OSRRefP22_10x_0)</f>
        <v>0</v>
      </c>
      <c r="Q117" s="1"/>
      <c r="R117" s="5">
        <f t="shared" si="41"/>
        <v>0</v>
      </c>
      <c r="S117" s="1"/>
      <c r="T117" s="1">
        <f>SUM(OSRRefT22_10x_0)</f>
        <v>5250</v>
      </c>
      <c r="U117" s="1"/>
      <c r="V117" s="5">
        <f t="shared" si="42"/>
        <v>3.8204101592346955E-3</v>
      </c>
      <c r="W117" s="1"/>
      <c r="X117" s="1">
        <f t="shared" si="43"/>
        <v>-5250</v>
      </c>
      <c r="Y117" s="1"/>
      <c r="Z117" s="5">
        <f t="shared" si="44"/>
        <v>-1</v>
      </c>
    </row>
    <row r="118" spans="1:26" s="24" customFormat="1" hidden="1" outlineLevel="2" x14ac:dyDescent="0.25">
      <c r="A118" s="28"/>
      <c r="B118" s="11" t="str">
        <f>CONCATENATE("          ", "6336", " - ", "PROFESSIONAL SERVICES")</f>
        <v xml:space="preserve">          6336 - PROFESSIONAL SERVICES</v>
      </c>
      <c r="C118" s="11"/>
      <c r="D118" s="6"/>
      <c r="E118" s="2"/>
      <c r="F118" s="7">
        <f t="shared" si="37"/>
        <v>0</v>
      </c>
      <c r="G118" s="2"/>
      <c r="H118" s="6">
        <v>0</v>
      </c>
      <c r="I118" s="2"/>
      <c r="J118" s="7">
        <f t="shared" si="38"/>
        <v>0</v>
      </c>
      <c r="K118" s="2"/>
      <c r="L118" s="6">
        <f t="shared" si="39"/>
        <v>0</v>
      </c>
      <c r="M118" s="2"/>
      <c r="N118" s="7">
        <f t="shared" si="40"/>
        <v>0</v>
      </c>
      <c r="O118" s="11"/>
      <c r="P118" s="6"/>
      <c r="Q118" s="2"/>
      <c r="R118" s="7">
        <f t="shared" si="41"/>
        <v>0</v>
      </c>
      <c r="S118" s="2"/>
      <c r="T118" s="6">
        <v>5250</v>
      </c>
      <c r="U118" s="2"/>
      <c r="V118" s="7">
        <f t="shared" si="42"/>
        <v>3.8204101592346955E-3</v>
      </c>
      <c r="W118" s="2"/>
      <c r="X118" s="6">
        <f t="shared" si="43"/>
        <v>-5250</v>
      </c>
      <c r="Y118" s="2"/>
      <c r="Z118" s="7">
        <f t="shared" si="44"/>
        <v>-1</v>
      </c>
    </row>
    <row r="119" spans="1:26" s="29" customFormat="1" outlineLevel="1" collapsed="1" x14ac:dyDescent="0.25">
      <c r="A119" s="27"/>
      <c r="B119" s="14" t="str">
        <f>CONCATENATE("     ","Repair and Maintenance                            ")</f>
        <v xml:space="preserve">     Repair and Maintenance                            </v>
      </c>
      <c r="C119" s="14"/>
      <c r="D119" s="1">
        <f>SUM(OSRRefD22_11x_0)</f>
        <v>0</v>
      </c>
      <c r="E119" s="1"/>
      <c r="F119" s="5">
        <f t="shared" si="37"/>
        <v>0</v>
      </c>
      <c r="G119" s="1"/>
      <c r="H119" s="1">
        <f>SUM(OSRRefH22_11x_0)</f>
        <v>50</v>
      </c>
      <c r="I119" s="1"/>
      <c r="J119" s="5">
        <f t="shared" si="38"/>
        <v>1.7604703976902629E-4</v>
      </c>
      <c r="K119" s="1"/>
      <c r="L119" s="1">
        <f t="shared" si="39"/>
        <v>-50</v>
      </c>
      <c r="M119" s="1"/>
      <c r="N119" s="5">
        <f t="shared" si="40"/>
        <v>-1</v>
      </c>
      <c r="O119" s="14"/>
      <c r="P119" s="1">
        <f>SUM(OSRRefP22_11x_0)</f>
        <v>0</v>
      </c>
      <c r="Q119" s="1"/>
      <c r="R119" s="5">
        <f t="shared" si="41"/>
        <v>0</v>
      </c>
      <c r="S119" s="1"/>
      <c r="T119" s="1">
        <f>SUM(OSRRefT22_11x_0)</f>
        <v>750</v>
      </c>
      <c r="U119" s="1"/>
      <c r="V119" s="5">
        <f t="shared" si="42"/>
        <v>5.4577287989067077E-4</v>
      </c>
      <c r="W119" s="1"/>
      <c r="X119" s="1">
        <f t="shared" si="43"/>
        <v>-750</v>
      </c>
      <c r="Y119" s="1"/>
      <c r="Z119" s="5">
        <f t="shared" si="44"/>
        <v>-1</v>
      </c>
    </row>
    <row r="120" spans="1:26" s="24" customFormat="1" hidden="1" outlineLevel="2" x14ac:dyDescent="0.25">
      <c r="A120" s="28"/>
      <c r="B120" s="11" t="str">
        <f>CONCATENATE("          ", "6375", " - ", "OUTSIDE REPAIRS &amp; MAINTENANCE")</f>
        <v xml:space="preserve">          6375 - OUTSIDE REPAIRS &amp; MAINTENANCE</v>
      </c>
      <c r="C120" s="11"/>
      <c r="D120" s="6"/>
      <c r="E120" s="2"/>
      <c r="F120" s="7">
        <f t="shared" si="37"/>
        <v>0</v>
      </c>
      <c r="G120" s="2"/>
      <c r="H120" s="6">
        <v>50</v>
      </c>
      <c r="I120" s="2"/>
      <c r="J120" s="7">
        <f t="shared" si="38"/>
        <v>1.7604703976902629E-4</v>
      </c>
      <c r="K120" s="2"/>
      <c r="L120" s="6">
        <f t="shared" si="39"/>
        <v>-50</v>
      </c>
      <c r="M120" s="2"/>
      <c r="N120" s="7">
        <f t="shared" si="40"/>
        <v>-1</v>
      </c>
      <c r="O120" s="11"/>
      <c r="P120" s="6"/>
      <c r="Q120" s="2"/>
      <c r="R120" s="7">
        <f t="shared" si="41"/>
        <v>0</v>
      </c>
      <c r="S120" s="2"/>
      <c r="T120" s="6">
        <v>750</v>
      </c>
      <c r="U120" s="2"/>
      <c r="V120" s="7">
        <f t="shared" si="42"/>
        <v>5.4577287989067077E-4</v>
      </c>
      <c r="W120" s="2"/>
      <c r="X120" s="6">
        <f t="shared" si="43"/>
        <v>-750</v>
      </c>
      <c r="Y120" s="2"/>
      <c r="Z120" s="7">
        <f t="shared" si="44"/>
        <v>-1</v>
      </c>
    </row>
    <row r="121" spans="1:26" s="29" customFormat="1" outlineLevel="1" collapsed="1" x14ac:dyDescent="0.25">
      <c r="A121" s="27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SUM(OSRRefD22_12x_0)</f>
        <v>0</v>
      </c>
      <c r="E121" s="1"/>
      <c r="F121" s="5">
        <f t="shared" si="37"/>
        <v>0</v>
      </c>
      <c r="G121" s="1"/>
      <c r="H121" s="1">
        <f>SUM(OSRRefH22_12x_0)</f>
        <v>6271</v>
      </c>
      <c r="I121" s="1"/>
      <c r="J121" s="5">
        <f t="shared" si="38"/>
        <v>2.2079819727831275E-2</v>
      </c>
      <c r="K121" s="1"/>
      <c r="L121" s="1">
        <f t="shared" si="39"/>
        <v>-6271</v>
      </c>
      <c r="M121" s="1"/>
      <c r="N121" s="5">
        <f t="shared" si="40"/>
        <v>-1</v>
      </c>
      <c r="O121" s="14"/>
      <c r="P121" s="1">
        <f>SUM(OSRRefP22_12x_0)</f>
        <v>18411.8</v>
      </c>
      <c r="Q121" s="1"/>
      <c r="R121" s="5">
        <f t="shared" si="41"/>
        <v>2.5937490504193122E-2</v>
      </c>
      <c r="S121" s="1"/>
      <c r="T121" s="1">
        <f>SUM(OSRRefT22_12x_0)</f>
        <v>31355</v>
      </c>
      <c r="U121" s="1"/>
      <c r="V121" s="5">
        <f t="shared" si="42"/>
        <v>2.2816944865295976E-2</v>
      </c>
      <c r="W121" s="1"/>
      <c r="X121" s="1">
        <f t="shared" si="43"/>
        <v>-12943.2</v>
      </c>
      <c r="Y121" s="1"/>
      <c r="Z121" s="5">
        <f t="shared" si="44"/>
        <v>-0.41279540743103177</v>
      </c>
    </row>
    <row r="122" spans="1:26" s="24" customFormat="1" hidden="1" outlineLevel="2" x14ac:dyDescent="0.25">
      <c r="A122" s="28"/>
      <c r="B122" s="11" t="str">
        <f>CONCATENATE("          ", "6252", " - ", "ROYALTY DUE CSTV")</f>
        <v xml:space="preserve">          6252 - ROYALTY DUE CSTV</v>
      </c>
      <c r="C122" s="11"/>
      <c r="D122" s="6"/>
      <c r="E122" s="2"/>
      <c r="F122" s="7">
        <f t="shared" si="37"/>
        <v>0</v>
      </c>
      <c r="G122" s="2"/>
      <c r="H122" s="6">
        <v>1085</v>
      </c>
      <c r="I122" s="2"/>
      <c r="J122" s="7">
        <f t="shared" si="38"/>
        <v>3.8202207629878704E-3</v>
      </c>
      <c r="K122" s="2"/>
      <c r="L122" s="6">
        <f t="shared" si="39"/>
        <v>-1085</v>
      </c>
      <c r="M122" s="2"/>
      <c r="N122" s="7">
        <f t="shared" si="40"/>
        <v>-1</v>
      </c>
      <c r="O122" s="11"/>
      <c r="P122" s="6"/>
      <c r="Q122" s="2"/>
      <c r="R122" s="7">
        <f t="shared" si="41"/>
        <v>0</v>
      </c>
      <c r="S122" s="2"/>
      <c r="T122" s="6">
        <v>5425</v>
      </c>
      <c r="U122" s="2"/>
      <c r="V122" s="7">
        <f t="shared" si="42"/>
        <v>3.947757164542519E-3</v>
      </c>
      <c r="W122" s="2"/>
      <c r="X122" s="6">
        <f t="shared" si="43"/>
        <v>-5425</v>
      </c>
      <c r="Y122" s="2"/>
      <c r="Z122" s="7">
        <f t="shared" si="44"/>
        <v>-1</v>
      </c>
    </row>
    <row r="123" spans="1:26" s="24" customFormat="1" hidden="1" outlineLevel="2" x14ac:dyDescent="0.25">
      <c r="A123" s="28"/>
      <c r="B123" s="11" t="str">
        <f>CONCATENATE("          ", "6253", " - ", "ROYALTY DUE ATHLETICS-LRG")</f>
        <v xml:space="preserve">          6253 - ROYALTY DUE ATHLETICS-LRG</v>
      </c>
      <c r="C123" s="11"/>
      <c r="D123" s="6"/>
      <c r="E123" s="2"/>
      <c r="F123" s="7">
        <f t="shared" si="37"/>
        <v>0</v>
      </c>
      <c r="G123" s="2"/>
      <c r="H123" s="6">
        <v>4037</v>
      </c>
      <c r="I123" s="2"/>
      <c r="J123" s="7">
        <f t="shared" si="38"/>
        <v>1.4214037990951183E-2</v>
      </c>
      <c r="K123" s="2"/>
      <c r="L123" s="6">
        <f t="shared" si="39"/>
        <v>-4037</v>
      </c>
      <c r="M123" s="2"/>
      <c r="N123" s="7">
        <f t="shared" si="40"/>
        <v>-1</v>
      </c>
      <c r="O123" s="11"/>
      <c r="P123" s="6">
        <v>18411.8</v>
      </c>
      <c r="Q123" s="2"/>
      <c r="R123" s="7">
        <f t="shared" si="41"/>
        <v>2.5937490504193122E-2</v>
      </c>
      <c r="S123" s="2"/>
      <c r="T123" s="6">
        <v>20185</v>
      </c>
      <c r="U123" s="2"/>
      <c r="V123" s="7">
        <f t="shared" si="42"/>
        <v>1.4688567440790919E-2</v>
      </c>
      <c r="W123" s="2"/>
      <c r="X123" s="6">
        <f t="shared" si="43"/>
        <v>-1773.2000000000007</v>
      </c>
      <c r="Y123" s="2"/>
      <c r="Z123" s="7">
        <f t="shared" si="44"/>
        <v>-8.7847411444141724E-2</v>
      </c>
    </row>
    <row r="124" spans="1:26" s="24" customFormat="1" hidden="1" outlineLevel="2" x14ac:dyDescent="0.25">
      <c r="A124" s="28"/>
      <c r="B124" s="11" t="str">
        <f>CONCATENATE("          ", "6254", " - ", "ROYALTY &amp; COMMISSIONS")</f>
        <v xml:space="preserve">          6254 - ROYALTY &amp; COMMISSIONS</v>
      </c>
      <c r="C124" s="11"/>
      <c r="D124" s="6"/>
      <c r="E124" s="2"/>
      <c r="F124" s="7">
        <f t="shared" si="37"/>
        <v>0</v>
      </c>
      <c r="G124" s="2"/>
      <c r="H124" s="6">
        <v>1149</v>
      </c>
      <c r="I124" s="2"/>
      <c r="J124" s="7">
        <f t="shared" si="38"/>
        <v>4.0455609738922239E-3</v>
      </c>
      <c r="K124" s="2"/>
      <c r="L124" s="6">
        <f t="shared" si="39"/>
        <v>-1149</v>
      </c>
      <c r="M124" s="2"/>
      <c r="N124" s="7">
        <f t="shared" si="40"/>
        <v>-1</v>
      </c>
      <c r="O124" s="11"/>
      <c r="P124" s="6"/>
      <c r="Q124" s="2"/>
      <c r="R124" s="7">
        <f t="shared" si="41"/>
        <v>0</v>
      </c>
      <c r="S124" s="2"/>
      <c r="T124" s="6">
        <v>5745</v>
      </c>
      <c r="U124" s="2"/>
      <c r="V124" s="7">
        <f t="shared" si="42"/>
        <v>4.180620259962538E-3</v>
      </c>
      <c r="W124" s="2"/>
      <c r="X124" s="6">
        <f t="shared" si="43"/>
        <v>-5745</v>
      </c>
      <c r="Y124" s="2"/>
      <c r="Z124" s="7">
        <f t="shared" si="44"/>
        <v>-1</v>
      </c>
    </row>
    <row r="125" spans="1:26" s="29" customFormat="1" outlineLevel="1" collapsed="1" x14ac:dyDescent="0.25">
      <c r="A125" s="27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SUM(OSRRefD22_13x_0)</f>
        <v>-441</v>
      </c>
      <c r="E125" s="1"/>
      <c r="F125" s="5">
        <f t="shared" ref="F125:F127" si="45">IF(D$12=0,0,D125/D$12)</f>
        <v>-5.2968296492742076E-3</v>
      </c>
      <c r="G125" s="1"/>
      <c r="H125" s="1">
        <f>SUM(OSRRefH22_13x_0)</f>
        <v>0</v>
      </c>
      <c r="I125" s="1"/>
      <c r="J125" s="5">
        <f t="shared" ref="J125:J127" si="46">IF(H$12=0,0,H125/H$12)</f>
        <v>0</v>
      </c>
      <c r="K125" s="1"/>
      <c r="L125" s="1">
        <f t="shared" ref="L125:L127" si="47">+D125-H125</f>
        <v>-441</v>
      </c>
      <c r="M125" s="1"/>
      <c r="N125" s="5">
        <f t="shared" ref="N125:N127" si="48">IF(H125=0,0,L125/H125)</f>
        <v>0</v>
      </c>
      <c r="O125" s="14"/>
      <c r="P125" s="1">
        <f>SUM(OSRRefP22_13x_0)</f>
        <v>-365.27</v>
      </c>
      <c r="Q125" s="1"/>
      <c r="R125" s="5">
        <f t="shared" ref="R125:R127" si="49">IF(P$12=0,0,P125/P$12)</f>
        <v>-5.1457147896819553E-4</v>
      </c>
      <c r="S125" s="1"/>
      <c r="T125" s="1">
        <f>SUM(OSRRefT22_13x_0)</f>
        <v>1000</v>
      </c>
      <c r="U125" s="1"/>
      <c r="V125" s="5">
        <f t="shared" ref="V125:V127" si="50">IF(T$12=0,0,T125/T$12)</f>
        <v>7.2769717318756099E-4</v>
      </c>
      <c r="W125" s="1"/>
      <c r="X125" s="1">
        <f t="shared" ref="X125:X127" si="51">+P125-T125</f>
        <v>-1365.27</v>
      </c>
      <c r="Y125" s="1"/>
      <c r="Z125" s="5">
        <f t="shared" ref="Z125:Z127" si="52">IF(T125=0,0,X125/T125)</f>
        <v>-1.36527</v>
      </c>
    </row>
    <row r="126" spans="1:26" s="24" customFormat="1" hidden="1" outlineLevel="2" x14ac:dyDescent="0.25">
      <c r="A126" s="28"/>
      <c r="B126" s="11" t="str">
        <f>CONCATENATE("          ", "6258", " - ", "MEMBERSHIP DUES")</f>
        <v xml:space="preserve">          6258 - MEMBERSHIP DUES</v>
      </c>
      <c r="C126" s="11"/>
      <c r="D126" s="6">
        <v>-441</v>
      </c>
      <c r="E126" s="2"/>
      <c r="F126" s="7">
        <f t="shared" si="45"/>
        <v>-5.2968296492742076E-3</v>
      </c>
      <c r="G126" s="2"/>
      <c r="H126" s="6">
        <v>0</v>
      </c>
      <c r="I126" s="2"/>
      <c r="J126" s="7">
        <f t="shared" si="46"/>
        <v>0</v>
      </c>
      <c r="K126" s="2"/>
      <c r="L126" s="6">
        <f t="shared" si="47"/>
        <v>-441</v>
      </c>
      <c r="M126" s="2"/>
      <c r="N126" s="7">
        <f t="shared" si="48"/>
        <v>0</v>
      </c>
      <c r="O126" s="11"/>
      <c r="P126" s="6">
        <v>-441</v>
      </c>
      <c r="Q126" s="2"/>
      <c r="R126" s="7">
        <f t="shared" si="49"/>
        <v>-6.212555704683501E-4</v>
      </c>
      <c r="S126" s="2"/>
      <c r="T126" s="6">
        <v>1000</v>
      </c>
      <c r="U126" s="2"/>
      <c r="V126" s="7">
        <f t="shared" si="50"/>
        <v>7.2769717318756099E-4</v>
      </c>
      <c r="W126" s="2"/>
      <c r="X126" s="6">
        <f t="shared" si="51"/>
        <v>-1441</v>
      </c>
      <c r="Y126" s="2"/>
      <c r="Z126" s="7">
        <f t="shared" si="52"/>
        <v>-1.4410000000000001</v>
      </c>
    </row>
    <row r="127" spans="1:26" s="24" customFormat="1" hidden="1" outlineLevel="2" x14ac:dyDescent="0.25">
      <c r="A127" s="28"/>
      <c r="B127" s="11" t="str">
        <f>CONCATENATE("          ", "6275", " - ", "SUBSCRIPTIONS")</f>
        <v xml:space="preserve">          6275 - SUBSCRIPTIONS</v>
      </c>
      <c r="C127" s="11"/>
      <c r="D127" s="6"/>
      <c r="E127" s="2"/>
      <c r="F127" s="7">
        <f t="shared" si="45"/>
        <v>0</v>
      </c>
      <c r="G127" s="2"/>
      <c r="H127" s="6"/>
      <c r="I127" s="2"/>
      <c r="J127" s="7">
        <f t="shared" si="46"/>
        <v>0</v>
      </c>
      <c r="K127" s="2"/>
      <c r="L127" s="6">
        <f t="shared" si="47"/>
        <v>0</v>
      </c>
      <c r="M127" s="2"/>
      <c r="N127" s="7">
        <f t="shared" si="48"/>
        <v>0</v>
      </c>
      <c r="O127" s="11"/>
      <c r="P127" s="6">
        <v>75.73</v>
      </c>
      <c r="Q127" s="2"/>
      <c r="R127" s="7">
        <f t="shared" si="49"/>
        <v>1.0668409150015454E-4</v>
      </c>
      <c r="S127" s="2"/>
      <c r="T127" s="6">
        <v>0</v>
      </c>
      <c r="U127" s="2"/>
      <c r="V127" s="7">
        <f t="shared" si="50"/>
        <v>0</v>
      </c>
      <c r="W127" s="2"/>
      <c r="X127" s="6">
        <f t="shared" si="51"/>
        <v>75.73</v>
      </c>
      <c r="Y127" s="2"/>
      <c r="Z127" s="7">
        <f t="shared" si="52"/>
        <v>0</v>
      </c>
    </row>
    <row r="128" spans="1:26" s="29" customFormat="1" outlineLevel="1" collapsed="1" x14ac:dyDescent="0.25">
      <c r="A128" s="27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SUM(OSRRefD22_14x_0)</f>
        <v>338.09000000000003</v>
      </c>
      <c r="E128" s="1"/>
      <c r="F128" s="5">
        <f t="shared" ref="F128:F135" si="53">IF(D$12=0,0,D128/D$12)</f>
        <v>4.0607826215943695E-3</v>
      </c>
      <c r="G128" s="1"/>
      <c r="H128" s="1">
        <f>SUM(OSRRefH22_14x_0)</f>
        <v>450</v>
      </c>
      <c r="I128" s="1"/>
      <c r="J128" s="5">
        <f t="shared" ref="J128:J135" si="54">IF(H$12=0,0,H128/H$12)</f>
        <v>1.5844233579212367E-3</v>
      </c>
      <c r="K128" s="1"/>
      <c r="L128" s="1">
        <f t="shared" ref="L128:L135" si="55">+D128-H128</f>
        <v>-111.90999999999997</v>
      </c>
      <c r="M128" s="1"/>
      <c r="N128" s="5">
        <f t="shared" ref="N128:N135" si="56">IF(H128=0,0,L128/H128)</f>
        <v>-0.24868888888888882</v>
      </c>
      <c r="O128" s="14"/>
      <c r="P128" s="1">
        <f>SUM(OSRRefP22_14x_0)</f>
        <v>1644.7</v>
      </c>
      <c r="Q128" s="1"/>
      <c r="R128" s="5">
        <f t="shared" ref="R128:R135" si="57">IF(P$12=0,0,P128/P$12)</f>
        <v>2.3169592670052048E-3</v>
      </c>
      <c r="S128" s="1"/>
      <c r="T128" s="1">
        <f>SUM(OSRRefT22_14x_0)</f>
        <v>2250</v>
      </c>
      <c r="U128" s="1"/>
      <c r="V128" s="5">
        <f t="shared" ref="V128:V135" si="58">IF(T$12=0,0,T128/T$12)</f>
        <v>1.6373186396720124E-3</v>
      </c>
      <c r="W128" s="1"/>
      <c r="X128" s="1">
        <f t="shared" ref="X128:X135" si="59">+P128-T128</f>
        <v>-605.29999999999995</v>
      </c>
      <c r="Y128" s="1"/>
      <c r="Z128" s="5">
        <f t="shared" ref="Z128:Z135" si="60">IF(T128=0,0,X128/T128)</f>
        <v>-0.26902222222222222</v>
      </c>
    </row>
    <row r="129" spans="1:26" s="24" customFormat="1" hidden="1" outlineLevel="2" x14ac:dyDescent="0.25">
      <c r="A129" s="28"/>
      <c r="B129" s="11" t="str">
        <f>CONCATENATE("          ", "6234", " - ", "EXPENDABLE SUPPLIES &amp; EQUIPMEN")</f>
        <v xml:space="preserve">          6234 - EXPENDABLE SUPPLIES &amp; EQUIPMEN</v>
      </c>
      <c r="C129" s="11"/>
      <c r="D129" s="6"/>
      <c r="E129" s="2"/>
      <c r="F129" s="7">
        <f t="shared" si="53"/>
        <v>0</v>
      </c>
      <c r="G129" s="2"/>
      <c r="H129" s="6">
        <v>50</v>
      </c>
      <c r="I129" s="2"/>
      <c r="J129" s="7">
        <f t="shared" si="54"/>
        <v>1.7604703976902629E-4</v>
      </c>
      <c r="K129" s="2"/>
      <c r="L129" s="6">
        <f t="shared" si="55"/>
        <v>-50</v>
      </c>
      <c r="M129" s="2"/>
      <c r="N129" s="7">
        <f t="shared" si="56"/>
        <v>-1</v>
      </c>
      <c r="O129" s="11"/>
      <c r="P129" s="6"/>
      <c r="Q129" s="2"/>
      <c r="R129" s="7">
        <f t="shared" si="57"/>
        <v>0</v>
      </c>
      <c r="S129" s="2"/>
      <c r="T129" s="6">
        <v>250</v>
      </c>
      <c r="U129" s="2"/>
      <c r="V129" s="7">
        <f t="shared" si="58"/>
        <v>1.8192429329689025E-4</v>
      </c>
      <c r="W129" s="2"/>
      <c r="X129" s="6">
        <f t="shared" si="59"/>
        <v>-250</v>
      </c>
      <c r="Y129" s="2"/>
      <c r="Z129" s="7">
        <f t="shared" si="60"/>
        <v>-1</v>
      </c>
    </row>
    <row r="130" spans="1:26" s="24" customFormat="1" hidden="1" outlineLevel="2" x14ac:dyDescent="0.25">
      <c r="A130" s="28"/>
      <c r="B130" s="11" t="str">
        <f>CONCATENATE("          ", "6235", " - ", "COVID-19 EXPENSES")</f>
        <v xml:space="preserve">          6235 - COVID-19 EXPENSES</v>
      </c>
      <c r="C130" s="11"/>
      <c r="D130" s="6">
        <v>65.05</v>
      </c>
      <c r="E130" s="2"/>
      <c r="F130" s="7">
        <f t="shared" si="53"/>
        <v>7.8131240064690979E-4</v>
      </c>
      <c r="G130" s="2"/>
      <c r="H130" s="6">
        <v>100</v>
      </c>
      <c r="I130" s="2"/>
      <c r="J130" s="7">
        <f t="shared" si="54"/>
        <v>3.5209407953805258E-4</v>
      </c>
      <c r="K130" s="2"/>
      <c r="L130" s="6">
        <f t="shared" si="55"/>
        <v>-34.950000000000003</v>
      </c>
      <c r="M130" s="2"/>
      <c r="N130" s="7">
        <f t="shared" si="56"/>
        <v>-0.34950000000000003</v>
      </c>
      <c r="O130" s="11"/>
      <c r="P130" s="6">
        <v>1026.43</v>
      </c>
      <c r="Q130" s="2"/>
      <c r="R130" s="7">
        <f t="shared" si="57"/>
        <v>1.4459758621220603E-3</v>
      </c>
      <c r="S130" s="2"/>
      <c r="T130" s="6">
        <v>500</v>
      </c>
      <c r="U130" s="2"/>
      <c r="V130" s="7">
        <f t="shared" si="58"/>
        <v>3.638485865937805E-4</v>
      </c>
      <c r="W130" s="2"/>
      <c r="X130" s="6">
        <f t="shared" si="59"/>
        <v>526.43000000000006</v>
      </c>
      <c r="Y130" s="2"/>
      <c r="Z130" s="7">
        <f t="shared" si="60"/>
        <v>1.0528600000000001</v>
      </c>
    </row>
    <row r="131" spans="1:26" s="24" customFormat="1" hidden="1" outlineLevel="2" x14ac:dyDescent="0.25">
      <c r="A131" s="28"/>
      <c r="B131" s="11" t="str">
        <f>CONCATENATE("          ", "6237", " - ", "JANITORIAL SUPPLIES")</f>
        <v xml:space="preserve">          6237 - JANITORIAL SUPPLIES</v>
      </c>
      <c r="C131" s="11"/>
      <c r="D131" s="6"/>
      <c r="E131" s="2"/>
      <c r="F131" s="7">
        <f t="shared" si="53"/>
        <v>0</v>
      </c>
      <c r="G131" s="2"/>
      <c r="H131" s="6">
        <v>50</v>
      </c>
      <c r="I131" s="2"/>
      <c r="J131" s="7">
        <f t="shared" si="54"/>
        <v>1.7604703976902629E-4</v>
      </c>
      <c r="K131" s="2"/>
      <c r="L131" s="6">
        <f t="shared" si="55"/>
        <v>-50</v>
      </c>
      <c r="M131" s="2"/>
      <c r="N131" s="7">
        <f t="shared" si="56"/>
        <v>-1</v>
      </c>
      <c r="O131" s="11"/>
      <c r="P131" s="6"/>
      <c r="Q131" s="2"/>
      <c r="R131" s="7">
        <f t="shared" si="57"/>
        <v>0</v>
      </c>
      <c r="S131" s="2"/>
      <c r="T131" s="6">
        <v>250</v>
      </c>
      <c r="U131" s="2"/>
      <c r="V131" s="7">
        <f t="shared" si="58"/>
        <v>1.8192429329689025E-4</v>
      </c>
      <c r="W131" s="2"/>
      <c r="X131" s="6">
        <f t="shared" si="59"/>
        <v>-250</v>
      </c>
      <c r="Y131" s="2"/>
      <c r="Z131" s="7">
        <f t="shared" si="60"/>
        <v>-1</v>
      </c>
    </row>
    <row r="132" spans="1:26" s="24" customFormat="1" hidden="1" outlineLevel="2" x14ac:dyDescent="0.25">
      <c r="A132" s="28"/>
      <c r="B132" s="11" t="str">
        <f>CONCATENATE("          ", "6241", " - ", "OFFICE EXPENSE")</f>
        <v xml:space="preserve">          6241 - OFFICE EXPENSE</v>
      </c>
      <c r="C132" s="11"/>
      <c r="D132" s="6">
        <v>273.04000000000002</v>
      </c>
      <c r="E132" s="2"/>
      <c r="F132" s="7">
        <f t="shared" si="53"/>
        <v>3.27947022094746E-3</v>
      </c>
      <c r="G132" s="2"/>
      <c r="H132" s="6">
        <v>100</v>
      </c>
      <c r="I132" s="2"/>
      <c r="J132" s="7">
        <f t="shared" si="54"/>
        <v>3.5209407953805258E-4</v>
      </c>
      <c r="K132" s="2"/>
      <c r="L132" s="6">
        <f t="shared" si="55"/>
        <v>173.04000000000002</v>
      </c>
      <c r="M132" s="2"/>
      <c r="N132" s="7">
        <f t="shared" si="56"/>
        <v>1.7304000000000002</v>
      </c>
      <c r="O132" s="11"/>
      <c r="P132" s="6">
        <v>431.56</v>
      </c>
      <c r="Q132" s="2"/>
      <c r="R132" s="7">
        <f t="shared" si="57"/>
        <v>6.0795703852907295E-4</v>
      </c>
      <c r="S132" s="2"/>
      <c r="T132" s="6">
        <v>500</v>
      </c>
      <c r="U132" s="2"/>
      <c r="V132" s="7">
        <f t="shared" si="58"/>
        <v>3.638485865937805E-4</v>
      </c>
      <c r="W132" s="2"/>
      <c r="X132" s="6">
        <f t="shared" si="59"/>
        <v>-68.44</v>
      </c>
      <c r="Y132" s="2"/>
      <c r="Z132" s="7">
        <f t="shared" si="60"/>
        <v>-0.13688</v>
      </c>
    </row>
    <row r="133" spans="1:26" s="24" customFormat="1" hidden="1" outlineLevel="2" x14ac:dyDescent="0.25">
      <c r="A133" s="28"/>
      <c r="B133" s="11" t="str">
        <f>CONCATENATE("          ", "6243", " - ", "PAPER SUPPLIES")</f>
        <v xml:space="preserve">          6243 - PAPER SUPPLIES</v>
      </c>
      <c r="C133" s="11"/>
      <c r="D133" s="6"/>
      <c r="E133" s="2"/>
      <c r="F133" s="7">
        <f t="shared" si="53"/>
        <v>0</v>
      </c>
      <c r="G133" s="2"/>
      <c r="H133" s="6">
        <v>50</v>
      </c>
      <c r="I133" s="2"/>
      <c r="J133" s="7">
        <f t="shared" si="54"/>
        <v>1.7604703976902629E-4</v>
      </c>
      <c r="K133" s="2"/>
      <c r="L133" s="6">
        <f t="shared" si="55"/>
        <v>-50</v>
      </c>
      <c r="M133" s="2"/>
      <c r="N133" s="7">
        <f t="shared" si="56"/>
        <v>-1</v>
      </c>
      <c r="O133" s="11"/>
      <c r="P133" s="6"/>
      <c r="Q133" s="2"/>
      <c r="R133" s="7">
        <f t="shared" si="57"/>
        <v>0</v>
      </c>
      <c r="S133" s="2"/>
      <c r="T133" s="6">
        <v>250</v>
      </c>
      <c r="U133" s="2"/>
      <c r="V133" s="7">
        <f t="shared" si="58"/>
        <v>1.8192429329689025E-4</v>
      </c>
      <c r="W133" s="2"/>
      <c r="X133" s="6">
        <f t="shared" si="59"/>
        <v>-250</v>
      </c>
      <c r="Y133" s="2"/>
      <c r="Z133" s="7">
        <f t="shared" si="60"/>
        <v>-1</v>
      </c>
    </row>
    <row r="134" spans="1:26" s="24" customFormat="1" hidden="1" outlineLevel="2" x14ac:dyDescent="0.25">
      <c r="A134" s="28"/>
      <c r="B134" s="11" t="str">
        <f>CONCATENATE("          ", "6245", " - ", "PRINTING")</f>
        <v xml:space="preserve">          6245 - PRINTING</v>
      </c>
      <c r="C134" s="11"/>
      <c r="D134" s="6"/>
      <c r="E134" s="2"/>
      <c r="F134" s="7">
        <f t="shared" si="53"/>
        <v>0</v>
      </c>
      <c r="G134" s="2"/>
      <c r="H134" s="6">
        <v>50</v>
      </c>
      <c r="I134" s="2"/>
      <c r="J134" s="7">
        <f t="shared" si="54"/>
        <v>1.7604703976902629E-4</v>
      </c>
      <c r="K134" s="2"/>
      <c r="L134" s="6">
        <f t="shared" si="55"/>
        <v>-50</v>
      </c>
      <c r="M134" s="2"/>
      <c r="N134" s="7">
        <f t="shared" si="56"/>
        <v>-1</v>
      </c>
      <c r="O134" s="11"/>
      <c r="P134" s="6"/>
      <c r="Q134" s="2"/>
      <c r="R134" s="7">
        <f t="shared" si="57"/>
        <v>0</v>
      </c>
      <c r="S134" s="2"/>
      <c r="T134" s="6">
        <v>250</v>
      </c>
      <c r="U134" s="2"/>
      <c r="V134" s="7">
        <f t="shared" si="58"/>
        <v>1.8192429329689025E-4</v>
      </c>
      <c r="W134" s="2"/>
      <c r="X134" s="6">
        <f t="shared" si="59"/>
        <v>-250</v>
      </c>
      <c r="Y134" s="2"/>
      <c r="Z134" s="7">
        <f t="shared" si="60"/>
        <v>-1</v>
      </c>
    </row>
    <row r="135" spans="1:26" s="24" customFormat="1" hidden="1" outlineLevel="2" x14ac:dyDescent="0.25">
      <c r="A135" s="28"/>
      <c r="B135" s="11" t="str">
        <f>CONCATENATE("          ", "6247", " - ", "STORE SUPPLIES")</f>
        <v xml:space="preserve">          6247 - STORE SUPPLIES</v>
      </c>
      <c r="C135" s="11"/>
      <c r="D135" s="6"/>
      <c r="E135" s="2"/>
      <c r="F135" s="7">
        <f t="shared" si="53"/>
        <v>0</v>
      </c>
      <c r="G135" s="2"/>
      <c r="H135" s="6">
        <v>50</v>
      </c>
      <c r="I135" s="2"/>
      <c r="J135" s="7">
        <f t="shared" si="54"/>
        <v>1.7604703976902629E-4</v>
      </c>
      <c r="K135" s="2"/>
      <c r="L135" s="6">
        <f t="shared" si="55"/>
        <v>-50</v>
      </c>
      <c r="M135" s="2"/>
      <c r="N135" s="7">
        <f t="shared" si="56"/>
        <v>-1</v>
      </c>
      <c r="O135" s="11"/>
      <c r="P135" s="6">
        <v>186.71</v>
      </c>
      <c r="Q135" s="2"/>
      <c r="R135" s="7">
        <f t="shared" si="57"/>
        <v>2.6302636635407178E-4</v>
      </c>
      <c r="S135" s="2"/>
      <c r="T135" s="6">
        <v>250</v>
      </c>
      <c r="U135" s="2"/>
      <c r="V135" s="7">
        <f t="shared" si="58"/>
        <v>1.8192429329689025E-4</v>
      </c>
      <c r="W135" s="2"/>
      <c r="X135" s="6">
        <f t="shared" si="59"/>
        <v>-63.289999999999992</v>
      </c>
      <c r="Y135" s="2"/>
      <c r="Z135" s="7">
        <f t="shared" si="60"/>
        <v>-0.25315999999999994</v>
      </c>
    </row>
    <row r="136" spans="1:26" s="29" customFormat="1" outlineLevel="1" collapsed="1" x14ac:dyDescent="0.25">
      <c r="A136" s="27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SUM(OSRRefD22_15x_0)</f>
        <v>281.55</v>
      </c>
      <c r="E136" s="1"/>
      <c r="F136" s="5">
        <f t="shared" ref="F136:F140" si="61">IF(D$12=0,0,D136/D$12)</f>
        <v>3.3816834189413906E-3</v>
      </c>
      <c r="G136" s="1"/>
      <c r="H136" s="1">
        <f>SUM(OSRRefH22_15x_0)</f>
        <v>600</v>
      </c>
      <c r="I136" s="1"/>
      <c r="J136" s="5">
        <f t="shared" ref="J136:J140" si="62">IF(H$12=0,0,H136/H$12)</f>
        <v>2.1125644772283154E-3</v>
      </c>
      <c r="K136" s="1"/>
      <c r="L136" s="1">
        <f t="shared" ref="L136:L140" si="63">+D136-H136</f>
        <v>-318.45</v>
      </c>
      <c r="M136" s="1"/>
      <c r="N136" s="5">
        <f t="shared" ref="N136:N140" si="64">IF(H136=0,0,L136/H136)</f>
        <v>-0.53074999999999994</v>
      </c>
      <c r="O136" s="14"/>
      <c r="P136" s="1">
        <f>SUM(OSRRefP22_15x_0)</f>
        <v>2301.88</v>
      </c>
      <c r="Q136" s="1"/>
      <c r="R136" s="5">
        <f t="shared" ref="R136:R140" si="65">IF(P$12=0,0,P136/P$12)</f>
        <v>3.2427568538541626E-3</v>
      </c>
      <c r="S136" s="1"/>
      <c r="T136" s="1">
        <f>SUM(OSRRefT22_15x_0)</f>
        <v>3000</v>
      </c>
      <c r="U136" s="1"/>
      <c r="V136" s="5">
        <f t="shared" ref="V136:V140" si="66">IF(T$12=0,0,T136/T$12)</f>
        <v>2.1830915195626831E-3</v>
      </c>
      <c r="W136" s="1"/>
      <c r="X136" s="1">
        <f t="shared" ref="X136:X140" si="67">+P136-T136</f>
        <v>-698.11999999999989</v>
      </c>
      <c r="Y136" s="1"/>
      <c r="Z136" s="5">
        <f t="shared" ref="Z136:Z140" si="68">IF(T136=0,0,X136/T136)</f>
        <v>-0.23270666666666662</v>
      </c>
    </row>
    <row r="137" spans="1:26" s="24" customFormat="1" hidden="1" outlineLevel="2" x14ac:dyDescent="0.25">
      <c r="A137" s="28"/>
      <c r="B137" s="11" t="str">
        <f>CONCATENATE("          ", "6309", " - ", "TELEPHONE")</f>
        <v xml:space="preserve">          6309 - TELEPHONE</v>
      </c>
      <c r="C137" s="11"/>
      <c r="D137" s="6">
        <v>281.55</v>
      </c>
      <c r="E137" s="2"/>
      <c r="F137" s="7">
        <f t="shared" si="61"/>
        <v>3.3816834189413906E-3</v>
      </c>
      <c r="G137" s="2"/>
      <c r="H137" s="6">
        <v>600</v>
      </c>
      <c r="I137" s="2"/>
      <c r="J137" s="7">
        <f t="shared" si="62"/>
        <v>2.1125644772283154E-3</v>
      </c>
      <c r="K137" s="2"/>
      <c r="L137" s="6">
        <f t="shared" si="63"/>
        <v>-318.45</v>
      </c>
      <c r="M137" s="2"/>
      <c r="N137" s="7">
        <f t="shared" si="64"/>
        <v>-0.53074999999999994</v>
      </c>
      <c r="O137" s="11"/>
      <c r="P137" s="6">
        <v>2301.88</v>
      </c>
      <c r="Q137" s="2"/>
      <c r="R137" s="7">
        <f t="shared" si="65"/>
        <v>3.2427568538541626E-3</v>
      </c>
      <c r="S137" s="2"/>
      <c r="T137" s="6">
        <v>3000</v>
      </c>
      <c r="U137" s="2"/>
      <c r="V137" s="7">
        <f t="shared" si="66"/>
        <v>2.1830915195626831E-3</v>
      </c>
      <c r="W137" s="2"/>
      <c r="X137" s="6">
        <f t="shared" si="67"/>
        <v>-698.11999999999989</v>
      </c>
      <c r="Y137" s="2"/>
      <c r="Z137" s="7">
        <f t="shared" si="68"/>
        <v>-0.23270666666666662</v>
      </c>
    </row>
    <row r="138" spans="1:26" s="29" customFormat="1" outlineLevel="1" collapsed="1" x14ac:dyDescent="0.25">
      <c r="A138" s="27"/>
      <c r="B138" s="14" t="str">
        <f>CONCATENATE("     ","Travel                                            ")</f>
        <v xml:space="preserve">     Travel                                            </v>
      </c>
      <c r="C138" s="14"/>
      <c r="D138" s="1">
        <f>SUM(OSRRefD22_16x_0)</f>
        <v>0</v>
      </c>
      <c r="E138" s="1"/>
      <c r="F138" s="5">
        <f t="shared" si="61"/>
        <v>0</v>
      </c>
      <c r="G138" s="1"/>
      <c r="H138" s="1">
        <f>SUM(OSRRefH22_16x_0)</f>
        <v>25</v>
      </c>
      <c r="I138" s="1"/>
      <c r="J138" s="5">
        <f t="shared" si="62"/>
        <v>8.8023519884513146E-5</v>
      </c>
      <c r="K138" s="1"/>
      <c r="L138" s="1">
        <f t="shared" si="63"/>
        <v>-25</v>
      </c>
      <c r="M138" s="1"/>
      <c r="N138" s="5">
        <f t="shared" si="64"/>
        <v>-1</v>
      </c>
      <c r="O138" s="14"/>
      <c r="P138" s="1">
        <f>SUM(OSRRefP22_16x_0)</f>
        <v>0</v>
      </c>
      <c r="Q138" s="1"/>
      <c r="R138" s="5">
        <f t="shared" si="65"/>
        <v>0</v>
      </c>
      <c r="S138" s="1"/>
      <c r="T138" s="1">
        <f>SUM(OSRRefT22_16x_0)</f>
        <v>125</v>
      </c>
      <c r="U138" s="1"/>
      <c r="V138" s="5">
        <f t="shared" si="66"/>
        <v>9.0962146648445124E-5</v>
      </c>
      <c r="W138" s="1"/>
      <c r="X138" s="1">
        <f t="shared" si="67"/>
        <v>-125</v>
      </c>
      <c r="Y138" s="1"/>
      <c r="Z138" s="5">
        <f t="shared" si="68"/>
        <v>-1</v>
      </c>
    </row>
    <row r="139" spans="1:26" s="24" customFormat="1" hidden="1" outlineLevel="2" x14ac:dyDescent="0.25">
      <c r="A139" s="28"/>
      <c r="B139" s="11" t="str">
        <f>CONCATENATE("          ", "6294", " - ", "TRAVEL OPERATIONAL")</f>
        <v xml:space="preserve">          6294 - TRAVEL OPERATIONAL</v>
      </c>
      <c r="C139" s="11"/>
      <c r="D139" s="6"/>
      <c r="E139" s="2"/>
      <c r="F139" s="7">
        <f t="shared" si="61"/>
        <v>0</v>
      </c>
      <c r="G139" s="2"/>
      <c r="H139" s="6">
        <v>25</v>
      </c>
      <c r="I139" s="2"/>
      <c r="J139" s="7">
        <f t="shared" si="62"/>
        <v>8.8023519884513146E-5</v>
      </c>
      <c r="K139" s="2"/>
      <c r="L139" s="6">
        <f t="shared" si="63"/>
        <v>-25</v>
      </c>
      <c r="M139" s="2"/>
      <c r="N139" s="7">
        <f t="shared" si="64"/>
        <v>-1</v>
      </c>
      <c r="O139" s="11"/>
      <c r="P139" s="6"/>
      <c r="Q139" s="2"/>
      <c r="R139" s="7">
        <f t="shared" si="65"/>
        <v>0</v>
      </c>
      <c r="S139" s="2"/>
      <c r="T139" s="6">
        <v>125</v>
      </c>
      <c r="U139" s="2"/>
      <c r="V139" s="7">
        <f t="shared" si="66"/>
        <v>9.0962146648445124E-5</v>
      </c>
      <c r="W139" s="2"/>
      <c r="X139" s="6">
        <f t="shared" si="67"/>
        <v>-125</v>
      </c>
      <c r="Y139" s="2"/>
      <c r="Z139" s="7">
        <f t="shared" si="68"/>
        <v>-1</v>
      </c>
    </row>
    <row r="140" spans="1:26" s="24" customFormat="1" hidden="1" outlineLevel="2" x14ac:dyDescent="0.25">
      <c r="A140" s="28"/>
      <c r="B140" s="11" t="str">
        <f>CONCATENATE("          ", "6298", " - ", "VEHICLE MILEAGE")</f>
        <v xml:space="preserve">          6298 - VEHICLE MILEAGE</v>
      </c>
      <c r="C140" s="11"/>
      <c r="D140" s="6"/>
      <c r="E140" s="2"/>
      <c r="F140" s="7">
        <f t="shared" si="61"/>
        <v>0</v>
      </c>
      <c r="G140" s="2"/>
      <c r="H140" s="6">
        <v>0</v>
      </c>
      <c r="I140" s="2"/>
      <c r="J140" s="7">
        <f t="shared" si="62"/>
        <v>0</v>
      </c>
      <c r="K140" s="2"/>
      <c r="L140" s="6">
        <f t="shared" si="63"/>
        <v>0</v>
      </c>
      <c r="M140" s="2"/>
      <c r="N140" s="7">
        <f t="shared" si="64"/>
        <v>0</v>
      </c>
      <c r="O140" s="11"/>
      <c r="P140" s="6"/>
      <c r="Q140" s="2"/>
      <c r="R140" s="7">
        <f t="shared" si="65"/>
        <v>0</v>
      </c>
      <c r="S140" s="2"/>
      <c r="T140" s="6">
        <v>0</v>
      </c>
      <c r="U140" s="2"/>
      <c r="V140" s="7">
        <f t="shared" si="66"/>
        <v>0</v>
      </c>
      <c r="W140" s="2"/>
      <c r="X140" s="6">
        <f t="shared" si="67"/>
        <v>0</v>
      </c>
      <c r="Y140" s="2"/>
      <c r="Z140" s="7">
        <f t="shared" si="68"/>
        <v>0</v>
      </c>
    </row>
    <row r="141" spans="1:26" s="62" customFormat="1" x14ac:dyDescent="0.25">
      <c r="A141" s="36"/>
      <c r="B141" s="36"/>
      <c r="C141" s="36"/>
      <c r="D141" s="1"/>
      <c r="E141" s="1"/>
      <c r="F141" s="5"/>
      <c r="G141" s="1"/>
      <c r="H141" s="1"/>
      <c r="I141" s="1"/>
      <c r="J141" s="5"/>
      <c r="K141" s="1"/>
      <c r="L141" s="1"/>
      <c r="M141" s="1"/>
      <c r="N141" s="5"/>
      <c r="O141" s="36"/>
      <c r="P141" s="1"/>
      <c r="Q141" s="1"/>
      <c r="R141" s="5"/>
      <c r="S141" s="1"/>
      <c r="T141" s="1"/>
      <c r="U141" s="1"/>
      <c r="V141" s="5"/>
      <c r="W141" s="1"/>
      <c r="X141" s="1"/>
      <c r="Y141" s="1"/>
      <c r="Z141" s="5"/>
    </row>
    <row r="142" spans="1:26" s="23" customFormat="1" collapsed="1" x14ac:dyDescent="0.25">
      <c r="A142" s="10"/>
      <c r="B142" s="26" t="s">
        <v>0</v>
      </c>
      <c r="C142" s="10"/>
      <c r="D142" s="4">
        <f>SUM(OSRRefD25x_0)</f>
        <v>14886.94</v>
      </c>
      <c r="E142" s="4"/>
      <c r="F142" s="12">
        <f t="shared" ref="F142:F145" si="69">IF(D$12=0,0,D142/D$12)</f>
        <v>0.17880631559856278</v>
      </c>
      <c r="G142" s="4"/>
      <c r="H142" s="4">
        <f>SUM(OSRRefH25x_0)</f>
        <v>8075</v>
      </c>
      <c r="I142" s="4"/>
      <c r="J142" s="12">
        <f t="shared" ref="J142:J145" si="70">IF(H$12=0,0,H142/H$12)</f>
        <v>2.8431596922697745E-2</v>
      </c>
      <c r="K142" s="4"/>
      <c r="L142" s="4">
        <f t="shared" ref="L142:L145" si="71">+D142-H142</f>
        <v>6811.9400000000005</v>
      </c>
      <c r="M142" s="4"/>
      <c r="N142" s="12">
        <f t="shared" ref="N142:N145" si="72">IF(H142=0,0,L142/H142)</f>
        <v>0.84358390092879265</v>
      </c>
      <c r="O142" s="10"/>
      <c r="P142" s="4">
        <f>SUM(OSRRefP25x_0)</f>
        <v>207874.45</v>
      </c>
      <c r="Q142" s="4"/>
      <c r="R142" s="12">
        <f t="shared" ref="R142:R145" si="73">IF(P$12=0,0,P142/P$12)</f>
        <v>0.29284163269964741</v>
      </c>
      <c r="S142" s="4"/>
      <c r="T142" s="4">
        <f>SUM(OSRRefT25x_0)</f>
        <v>40375</v>
      </c>
      <c r="U142" s="4"/>
      <c r="V142" s="12">
        <f t="shared" ref="V142:V145" si="74">IF(T$12=0,0,T142/T$12)</f>
        <v>2.9380773367447776E-2</v>
      </c>
      <c r="W142" s="4"/>
      <c r="X142" s="4">
        <f t="shared" ref="X142:X145" si="75">+P142-T142</f>
        <v>167499.45000000001</v>
      </c>
      <c r="Y142" s="4"/>
      <c r="Z142" s="12">
        <f t="shared" ref="Z142:Z145" si="76">IF(T142=0,0,X142/T142)</f>
        <v>4.1485931888544894</v>
      </c>
    </row>
    <row r="143" spans="1:26" s="24" customFormat="1" hidden="1" outlineLevel="1" x14ac:dyDescent="0.25">
      <c r="A143" s="51"/>
      <c r="B143" s="11" t="str">
        <f>CONCATENATE("          ", "9150", " - ", "MISC. INCOME")</f>
        <v xml:space="preserve">          9150 - MISC. INCOME</v>
      </c>
      <c r="C143" s="11"/>
      <c r="D143" s="2">
        <f>--145</f>
        <v>145</v>
      </c>
      <c r="E143" s="2"/>
      <c r="F143" s="22">
        <f t="shared" si="69"/>
        <v>1.741587979920091E-3</v>
      </c>
      <c r="G143" s="2"/>
      <c r="H143" s="2">
        <v>8075</v>
      </c>
      <c r="I143" s="2"/>
      <c r="J143" s="22">
        <f t="shared" si="70"/>
        <v>2.8431596922697745E-2</v>
      </c>
      <c r="K143" s="2"/>
      <c r="L143" s="2">
        <f t="shared" si="71"/>
        <v>-7930</v>
      </c>
      <c r="M143" s="2"/>
      <c r="N143" s="22">
        <f t="shared" si="72"/>
        <v>-0.98204334365325074</v>
      </c>
      <c r="O143" s="11"/>
      <c r="P143" s="2">
        <f>--32468.61</f>
        <v>32468.61</v>
      </c>
      <c r="Q143" s="2"/>
      <c r="R143" s="22">
        <f t="shared" si="73"/>
        <v>4.5739920244590421E-2</v>
      </c>
      <c r="S143" s="2"/>
      <c r="T143" s="2">
        <v>40375</v>
      </c>
      <c r="U143" s="2"/>
      <c r="V143" s="22">
        <f t="shared" si="74"/>
        <v>2.9380773367447776E-2</v>
      </c>
      <c r="W143" s="2"/>
      <c r="X143" s="2">
        <f t="shared" si="75"/>
        <v>-7906.3899999999994</v>
      </c>
      <c r="Y143" s="2"/>
      <c r="Z143" s="22">
        <f t="shared" si="76"/>
        <v>-0.19582390092879257</v>
      </c>
    </row>
    <row r="144" spans="1:26" s="24" customFormat="1" hidden="1" outlineLevel="1" x14ac:dyDescent="0.25">
      <c r="A144" s="51"/>
      <c r="B144" s="11" t="str">
        <f>CONCATENATE("          ", "9151", " - ", "MISC. INCOME")</f>
        <v xml:space="preserve">          9151 - MISC. INCOME</v>
      </c>
      <c r="C144" s="11"/>
      <c r="D144" s="2">
        <f>0</f>
        <v>0</v>
      </c>
      <c r="E144" s="2"/>
      <c r="F144" s="22">
        <f t="shared" si="69"/>
        <v>0</v>
      </c>
      <c r="G144" s="2"/>
      <c r="H144" s="2">
        <v>0</v>
      </c>
      <c r="I144" s="2"/>
      <c r="J144" s="22">
        <f t="shared" si="70"/>
        <v>0</v>
      </c>
      <c r="K144" s="2"/>
      <c r="L144" s="2">
        <f t="shared" si="71"/>
        <v>0</v>
      </c>
      <c r="M144" s="2"/>
      <c r="N144" s="22">
        <f t="shared" si="72"/>
        <v>0</v>
      </c>
      <c r="O144" s="11"/>
      <c r="P144" s="2">
        <f>0</f>
        <v>0</v>
      </c>
      <c r="Q144" s="2"/>
      <c r="R144" s="22">
        <f t="shared" si="73"/>
        <v>0</v>
      </c>
      <c r="S144" s="2"/>
      <c r="T144" s="2">
        <v>0</v>
      </c>
      <c r="U144" s="2"/>
      <c r="V144" s="22">
        <f t="shared" si="74"/>
        <v>0</v>
      </c>
      <c r="W144" s="2"/>
      <c r="X144" s="2">
        <f t="shared" si="75"/>
        <v>0</v>
      </c>
      <c r="Y144" s="2"/>
      <c r="Z144" s="22">
        <f t="shared" si="76"/>
        <v>0</v>
      </c>
    </row>
    <row r="145" spans="1:26" s="24" customFormat="1" hidden="1" outlineLevel="1" x14ac:dyDescent="0.25">
      <c r="A145" s="51"/>
      <c r="B145" s="11" t="str">
        <f>CONCATENATE("          ", "9163", " - ", "MISC. INCOME")</f>
        <v xml:space="preserve">          9163 - MISC. INCOME</v>
      </c>
      <c r="C145" s="11"/>
      <c r="D145" s="2">
        <f>--14741.94</f>
        <v>14741.94</v>
      </c>
      <c r="E145" s="2"/>
      <c r="F145" s="22">
        <f t="shared" si="69"/>
        <v>0.17706472761864267</v>
      </c>
      <c r="G145" s="2"/>
      <c r="H145" s="2"/>
      <c r="I145" s="2"/>
      <c r="J145" s="22">
        <f t="shared" si="70"/>
        <v>0</v>
      </c>
      <c r="K145" s="2"/>
      <c r="L145" s="2">
        <f t="shared" si="71"/>
        <v>14741.94</v>
      </c>
      <c r="M145" s="2"/>
      <c r="N145" s="22">
        <f t="shared" si="72"/>
        <v>0</v>
      </c>
      <c r="O145" s="11"/>
      <c r="P145" s="2">
        <f>--175405.84</f>
        <v>175405.84</v>
      </c>
      <c r="Q145" s="2"/>
      <c r="R145" s="22">
        <f t="shared" si="73"/>
        <v>0.24710171245505699</v>
      </c>
      <c r="S145" s="2"/>
      <c r="T145" s="2"/>
      <c r="U145" s="2"/>
      <c r="V145" s="22">
        <f t="shared" si="74"/>
        <v>0</v>
      </c>
      <c r="W145" s="2"/>
      <c r="X145" s="2">
        <f t="shared" si="75"/>
        <v>175405.84</v>
      </c>
      <c r="Y145" s="2"/>
      <c r="Z145" s="22">
        <f t="shared" si="76"/>
        <v>0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10"/>
      <c r="B147" s="25" t="s">
        <v>3</v>
      </c>
      <c r="C147" s="25"/>
      <c r="D147" s="21">
        <f>+D76-D78+D142</f>
        <v>15855.819999999998</v>
      </c>
      <c r="E147" s="13"/>
      <c r="F147" s="20">
        <f>IF(D$12=0,0,D147/D$12)</f>
        <v>0.19044348637087291</v>
      </c>
      <c r="G147" s="13"/>
      <c r="H147" s="21">
        <f>+H76-H78+H142</f>
        <v>66256.7737269231</v>
      </c>
      <c r="I147" s="13"/>
      <c r="J147" s="20">
        <f>IF(H$12=0,0,H147/H$12)</f>
        <v>0.23328617758542014</v>
      </c>
      <c r="K147" s="16"/>
      <c r="L147" s="21">
        <f>+D147-H147</f>
        <v>-50400.9537269231</v>
      </c>
      <c r="M147" s="16"/>
      <c r="N147" s="20">
        <f>IF(H147=0,0,L147/H147)</f>
        <v>-0.7606913360232469</v>
      </c>
      <c r="O147" s="26"/>
      <c r="P147" s="21">
        <f>+P76-P78+P142</f>
        <v>251297.87000000023</v>
      </c>
      <c r="Q147" s="13"/>
      <c r="R147" s="20">
        <f>IF(P$12=0,0,P147/P$12)</f>
        <v>0.35401406254950435</v>
      </c>
      <c r="S147" s="13"/>
      <c r="T147" s="21">
        <f>+T76-T78+T142</f>
        <v>279442.34507807693</v>
      </c>
      <c r="U147" s="13"/>
      <c r="V147" s="20">
        <f>IF(T$12=0,0,T147/T$12)</f>
        <v>0.20334940458221953</v>
      </c>
      <c r="W147" s="16"/>
      <c r="X147" s="21">
        <f>+P147-T147</f>
        <v>-28144.475078076706</v>
      </c>
      <c r="Y147" s="16"/>
      <c r="Z147" s="20">
        <f>IF(T147=0,0,X147/T147)</f>
        <v>-0.10071657203640008</v>
      </c>
    </row>
    <row r="148" spans="1:26" x14ac:dyDescent="0.25">
      <c r="A148" s="9"/>
      <c r="B148" s="10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52"/>
      <c r="B149" s="10" t="s">
        <v>14</v>
      </c>
      <c r="C149" s="10"/>
      <c r="D149" s="4">
        <v>-22938.449999999997</v>
      </c>
      <c r="E149" s="4"/>
      <c r="F149" s="12">
        <f>IF(D$12=0,0,D149/D$12)</f>
        <v>-0.27551261239998626</v>
      </c>
      <c r="G149" s="4"/>
      <c r="H149" s="4">
        <v>66604</v>
      </c>
      <c r="I149" s="4"/>
      <c r="J149" s="12">
        <f>IF(H$12=0,0,H149/H$12)</f>
        <v>0.23450874073552452</v>
      </c>
      <c r="K149" s="4"/>
      <c r="L149" s="4">
        <f>+D149-H149</f>
        <v>-89542.45</v>
      </c>
      <c r="M149" s="4"/>
      <c r="N149" s="12">
        <f>IF(H149=0,0,L149/H149)</f>
        <v>-1.3444004864572698</v>
      </c>
      <c r="O149" s="10"/>
      <c r="P149" s="4">
        <v>112795.62</v>
      </c>
      <c r="Q149" s="4"/>
      <c r="R149" s="12">
        <f>IF(P$12=0,0,P149/P$12)</f>
        <v>0.15890001643861959</v>
      </c>
      <c r="S149" s="4"/>
      <c r="T149" s="4">
        <v>245088</v>
      </c>
      <c r="U149" s="4"/>
      <c r="V149" s="12">
        <f>IF(T$12=0,0,T149/T$12)</f>
        <v>0.17834984478219296</v>
      </c>
      <c r="W149" s="4"/>
      <c r="X149" s="4">
        <f>+P149-T149</f>
        <v>-132292.38</v>
      </c>
      <c r="Y149" s="4"/>
      <c r="Z149" s="12">
        <f>IF(T149=0,0,X149/T149)</f>
        <v>-0.53977501958480223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.75" thickBot="1" x14ac:dyDescent="0.3">
      <c r="A151" s="10"/>
      <c r="B151" s="25" t="s">
        <v>4</v>
      </c>
      <c r="C151" s="25"/>
      <c r="D151" s="31">
        <f>+D147-D149</f>
        <v>38794.269999999997</v>
      </c>
      <c r="E151" s="13"/>
      <c r="F151" s="34">
        <f>IF(D$12=0,0,D151/D$12)</f>
        <v>0.4659560987708592</v>
      </c>
      <c r="G151" s="13"/>
      <c r="H151" s="31">
        <f>+H147-H149</f>
        <v>-347.22627307689982</v>
      </c>
      <c r="I151" s="13"/>
      <c r="J151" s="34">
        <f>IF(H$12=0,0,H151/H$12)</f>
        <v>-1.2225631501043951E-3</v>
      </c>
      <c r="K151" s="16"/>
      <c r="L151" s="31">
        <f>D151-H151</f>
        <v>39141.496273076897</v>
      </c>
      <c r="M151" s="16"/>
      <c r="N151" s="34">
        <f>IF(H151=0,0,L151/H151)</f>
        <v>-112.72619415066058</v>
      </c>
      <c r="O151" s="26"/>
      <c r="P151" s="31">
        <f>+P147-P149</f>
        <v>138502.25000000023</v>
      </c>
      <c r="Q151" s="13"/>
      <c r="R151" s="34">
        <f>IF(P$12=0,0,P151/P$12)</f>
        <v>0.19511404611088476</v>
      </c>
      <c r="S151" s="13"/>
      <c r="T151" s="31">
        <f>+T147-T149</f>
        <v>34354.345078076934</v>
      </c>
      <c r="U151" s="13"/>
      <c r="V151" s="34">
        <f>IF(T$12=0,0,T151/T$12)</f>
        <v>2.4999559800026588E-2</v>
      </c>
      <c r="W151" s="16"/>
      <c r="X151" s="31">
        <f>P151-T151</f>
        <v>104147.9049219233</v>
      </c>
      <c r="Y151" s="16"/>
      <c r="Z151" s="34">
        <f>IF(T151=0,0,X151/T151)</f>
        <v>3.0315788202402612</v>
      </c>
    </row>
    <row r="152" spans="1:26" ht="15.75" thickTop="1" x14ac:dyDescent="0.25">
      <c r="A152" s="9"/>
      <c r="B152" s="9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x14ac:dyDescent="0.25">
      <c r="A153" s="9"/>
      <c r="B153" s="9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ht="15.75" thickBot="1" x14ac:dyDescent="0.3">
      <c r="A154" s="10"/>
      <c r="B154" s="25" t="s">
        <v>5</v>
      </c>
      <c r="C154" s="25"/>
      <c r="D154" s="33">
        <f>SUM(D151:D153)</f>
        <v>38794.269999999997</v>
      </c>
      <c r="E154" s="13"/>
      <c r="F154" s="30">
        <f>IF(D$12=0,0,D154/D$12)</f>
        <v>0.4659560987708592</v>
      </c>
      <c r="G154" s="13"/>
      <c r="H154" s="33">
        <f>SUM(H151:H153)</f>
        <v>-347.22627307689982</v>
      </c>
      <c r="I154" s="13"/>
      <c r="J154" s="30">
        <f>IF(H$12=0,0,H154/H$12)</f>
        <v>-1.2225631501043951E-3</v>
      </c>
      <c r="K154" s="16"/>
      <c r="L154" s="33">
        <f>+D154-H154</f>
        <v>39141.496273076897</v>
      </c>
      <c r="M154" s="16"/>
      <c r="N154" s="30">
        <f>IF(H154=0,0,L154/H154)</f>
        <v>-112.72619415066058</v>
      </c>
      <c r="O154" s="26"/>
      <c r="P154" s="33">
        <f>SUM(P151:P153)</f>
        <v>138502.25000000023</v>
      </c>
      <c r="Q154" s="13"/>
      <c r="R154" s="30">
        <f>IF(P$12=0,0,P154/P$12)</f>
        <v>0.19511404611088476</v>
      </c>
      <c r="S154" s="13"/>
      <c r="T154" s="33">
        <f>SUM(T151:T153)</f>
        <v>34354.345078076934</v>
      </c>
      <c r="U154" s="13"/>
      <c r="V154" s="30">
        <f>IF(T$12=0,0,T154/T$12)</f>
        <v>2.4999559800026588E-2</v>
      </c>
      <c r="W154" s="16"/>
      <c r="X154" s="33">
        <f>+P154-T154</f>
        <v>104147.9049219233</v>
      </c>
      <c r="Y154" s="16"/>
      <c r="Z154" s="30">
        <f>IF(T154=0,0,X154/T154)</f>
        <v>3.0315788202402612</v>
      </c>
    </row>
    <row r="155" spans="1:26" ht="15.75" thickTop="1" x14ac:dyDescent="0.25">
      <c r="A155" s="9"/>
      <c r="C155" s="9"/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  <row r="156" spans="1:26" x14ac:dyDescent="0.25">
      <c r="A156" s="9"/>
      <c r="B156" s="55">
        <v>44174.679623692129</v>
      </c>
      <c r="D156" s="18"/>
      <c r="E156" s="18"/>
      <c r="G156" s="18"/>
      <c r="H156" s="18"/>
      <c r="I156" s="18"/>
      <c r="J156" s="43"/>
      <c r="K156" s="18"/>
      <c r="L156" s="18"/>
      <c r="M156" s="18"/>
      <c r="P156" s="18"/>
      <c r="Q156" s="18"/>
      <c r="R156" s="43"/>
      <c r="S156" s="18"/>
      <c r="T156" s="18"/>
      <c r="U156" s="18"/>
      <c r="V156" s="43"/>
      <c r="W156" s="18"/>
      <c r="X156" s="18"/>
    </row>
    <row r="157" spans="1:26" x14ac:dyDescent="0.25">
      <c r="A157" s="9"/>
      <c r="B157" s="57" t="s">
        <v>314</v>
      </c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25">
      <c r="A158" s="9"/>
      <c r="B158" s="63"/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17593.260000000002</v>
      </c>
      <c r="E12" s="4"/>
      <c r="F12" s="12"/>
      <c r="G12" s="4"/>
      <c r="H12" s="4">
        <f>SUM(OSRRefH13x_0)</f>
        <v>35947</v>
      </c>
      <c r="I12" s="4"/>
      <c r="J12" s="12"/>
      <c r="K12" s="4"/>
      <c r="L12" s="4">
        <f t="shared" ref="L12:L31" si="0">+D12-H12</f>
        <v>-18353.739999999998</v>
      </c>
      <c r="M12" s="4"/>
      <c r="N12" s="12">
        <f t="shared" ref="N12:N31" si="1">IF(H12=0,0,L12/H12)</f>
        <v>-0.51057779508721168</v>
      </c>
      <c r="O12" s="10"/>
      <c r="P12" s="4">
        <f>SUM(OSRRefP13x_0)</f>
        <v>106015.12000000001</v>
      </c>
      <c r="Q12" s="4"/>
      <c r="R12" s="12"/>
      <c r="S12" s="4"/>
      <c r="T12" s="4">
        <f>SUM(OSRRefT13x_0)</f>
        <v>220692</v>
      </c>
      <c r="U12" s="4"/>
      <c r="V12" s="12"/>
      <c r="W12" s="4"/>
      <c r="X12" s="4">
        <f t="shared" ref="X12:X31" si="2">+P12-T12</f>
        <v>-114676.87999999999</v>
      </c>
      <c r="Y12" s="4"/>
      <c r="Z12" s="12">
        <f t="shared" ref="Z12:Z31" si="3">IF(T12=0,0,X12/T12)</f>
        <v>-0.51962409149402788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-341.41</f>
        <v>-341.41</v>
      </c>
      <c r="E13" s="2"/>
      <c r="F13" s="22"/>
      <c r="G13" s="2"/>
      <c r="H13" s="2">
        <v>35947</v>
      </c>
      <c r="I13" s="2"/>
      <c r="J13" s="22"/>
      <c r="K13" s="2"/>
      <c r="L13" s="2">
        <f t="shared" si="0"/>
        <v>-36288.410000000003</v>
      </c>
      <c r="M13" s="2"/>
      <c r="N13" s="22">
        <f t="shared" si="1"/>
        <v>-1.009497593679584</v>
      </c>
      <c r="O13" s="11"/>
      <c r="P13" s="2">
        <f>-2844.36</f>
        <v>-2844.36</v>
      </c>
      <c r="Q13" s="2"/>
      <c r="R13" s="22"/>
      <c r="S13" s="2"/>
      <c r="T13" s="2">
        <v>220692</v>
      </c>
      <c r="U13" s="2"/>
      <c r="V13" s="22"/>
      <c r="W13" s="2"/>
      <c r="X13" s="2">
        <f t="shared" si="2"/>
        <v>-223536.36</v>
      </c>
      <c r="Y13" s="2"/>
      <c r="Z13" s="22">
        <f t="shared" si="3"/>
        <v>-1.012888369311076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--18.37</f>
        <v>18.37</v>
      </c>
      <c r="E14" s="2"/>
      <c r="F14" s="22"/>
      <c r="G14" s="2"/>
      <c r="H14" s="2"/>
      <c r="I14" s="2"/>
      <c r="J14" s="22"/>
      <c r="K14" s="2"/>
      <c r="L14" s="2">
        <f t="shared" si="0"/>
        <v>18.37</v>
      </c>
      <c r="M14" s="2"/>
      <c r="N14" s="22">
        <f t="shared" si="1"/>
        <v>0</v>
      </c>
      <c r="O14" s="11"/>
      <c r="P14" s="2">
        <f>--57.7</f>
        <v>57.7</v>
      </c>
      <c r="Q14" s="2"/>
      <c r="R14" s="22"/>
      <c r="S14" s="2"/>
      <c r="T14" s="2"/>
      <c r="U14" s="2"/>
      <c r="V14" s="22"/>
      <c r="W14" s="2"/>
      <c r="X14" s="2">
        <f t="shared" si="2"/>
        <v>57.7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--32.78</f>
        <v>32.78</v>
      </c>
      <c r="E15" s="2"/>
      <c r="F15" s="22"/>
      <c r="G15" s="2"/>
      <c r="H15" s="2"/>
      <c r="I15" s="2"/>
      <c r="J15" s="22"/>
      <c r="K15" s="2"/>
      <c r="L15" s="2">
        <f t="shared" si="0"/>
        <v>32.78</v>
      </c>
      <c r="M15" s="2"/>
      <c r="N15" s="22">
        <f t="shared" si="1"/>
        <v>0</v>
      </c>
      <c r="O15" s="11"/>
      <c r="P15" s="2">
        <f>--50.24</f>
        <v>50.24</v>
      </c>
      <c r="Q15" s="2"/>
      <c r="R15" s="22"/>
      <c r="S15" s="2"/>
      <c r="T15" s="2"/>
      <c r="U15" s="2"/>
      <c r="V15" s="22"/>
      <c r="W15" s="2"/>
      <c r="X15" s="2">
        <f t="shared" si="2"/>
        <v>50.24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--13840.8</f>
        <v>13840.8</v>
      </c>
      <c r="E16" s="2"/>
      <c r="F16" s="22"/>
      <c r="G16" s="2"/>
      <c r="H16" s="2"/>
      <c r="I16" s="2"/>
      <c r="J16" s="22"/>
      <c r="K16" s="2"/>
      <c r="L16" s="2">
        <f t="shared" si="0"/>
        <v>13840.8</v>
      </c>
      <c r="M16" s="2"/>
      <c r="N16" s="22">
        <f t="shared" si="1"/>
        <v>0</v>
      </c>
      <c r="O16" s="11"/>
      <c r="P16" s="2">
        <f>--88540.99</f>
        <v>88540.99</v>
      </c>
      <c r="Q16" s="2"/>
      <c r="R16" s="22"/>
      <c r="S16" s="2"/>
      <c r="T16" s="2"/>
      <c r="U16" s="2"/>
      <c r="V16" s="22"/>
      <c r="W16" s="2"/>
      <c r="X16" s="2">
        <f t="shared" si="2"/>
        <v>88540.99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"4041", " - ", "TAXABLE SALES-LOGO GIFTS")</f>
        <v xml:space="preserve">          4041 - TAXABLE SALES-LOGO GIFTS</v>
      </c>
      <c r="C17" s="11"/>
      <c r="D17" s="2">
        <f>--1678.59</f>
        <v>1678.59</v>
      </c>
      <c r="E17" s="2"/>
      <c r="F17" s="22"/>
      <c r="G17" s="2"/>
      <c r="H17" s="2"/>
      <c r="I17" s="2"/>
      <c r="J17" s="22"/>
      <c r="K17" s="2"/>
      <c r="L17" s="2">
        <f t="shared" si="0"/>
        <v>1678.59</v>
      </c>
      <c r="M17" s="2"/>
      <c r="N17" s="22">
        <f t="shared" si="1"/>
        <v>0</v>
      </c>
      <c r="O17" s="11"/>
      <c r="P17" s="2">
        <f>--13702.19</f>
        <v>13702.19</v>
      </c>
      <c r="Q17" s="2"/>
      <c r="R17" s="22"/>
      <c r="S17" s="2"/>
      <c r="T17" s="2"/>
      <c r="U17" s="2"/>
      <c r="V17" s="22"/>
      <c r="W17" s="2"/>
      <c r="X17" s="2">
        <f t="shared" si="2"/>
        <v>13702.19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--414.83</f>
        <v>414.83</v>
      </c>
      <c r="E18" s="2"/>
      <c r="F18" s="22"/>
      <c r="G18" s="2"/>
      <c r="H18" s="2"/>
      <c r="I18" s="2"/>
      <c r="J18" s="22"/>
      <c r="K18" s="2"/>
      <c r="L18" s="2">
        <f t="shared" si="0"/>
        <v>414.83</v>
      </c>
      <c r="M18" s="2"/>
      <c r="N18" s="22">
        <f t="shared" si="1"/>
        <v>0</v>
      </c>
      <c r="O18" s="11"/>
      <c r="P18" s="2">
        <f>--5007.85</f>
        <v>5007.8500000000004</v>
      </c>
      <c r="Q18" s="2"/>
      <c r="R18" s="22"/>
      <c r="S18" s="2"/>
      <c r="T18" s="2"/>
      <c r="U18" s="2"/>
      <c r="V18" s="22"/>
      <c r="W18" s="2"/>
      <c r="X18" s="2">
        <f t="shared" si="2"/>
        <v>5007.8500000000004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"4043", " - ", "TAXABLE SALES-CARDS")</f>
        <v xml:space="preserve">          4043 - TAXABLE SALES-CARDS</v>
      </c>
      <c r="C19" s="11"/>
      <c r="D19" s="2">
        <f>--2053.76</f>
        <v>2053.7600000000002</v>
      </c>
      <c r="E19" s="2"/>
      <c r="F19" s="22"/>
      <c r="G19" s="2"/>
      <c r="H19" s="2"/>
      <c r="I19" s="2"/>
      <c r="J19" s="22"/>
      <c r="K19" s="2"/>
      <c r="L19" s="2">
        <f t="shared" si="0"/>
        <v>2053.7600000000002</v>
      </c>
      <c r="M19" s="2"/>
      <c r="N19" s="22">
        <f t="shared" si="1"/>
        <v>0</v>
      </c>
      <c r="O19" s="11"/>
      <c r="P19" s="2">
        <f>--2870.98</f>
        <v>2870.98</v>
      </c>
      <c r="Q19" s="2"/>
      <c r="R19" s="22"/>
      <c r="S19" s="2"/>
      <c r="T19" s="2"/>
      <c r="U19" s="2"/>
      <c r="V19" s="22"/>
      <c r="W19" s="2"/>
      <c r="X19" s="2">
        <f t="shared" si="2"/>
        <v>2870.98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"4044", " - ", "TAXABLE SALES-ACCESSORIES")</f>
        <v xml:space="preserve">          4044 - TAXABLE SALES-ACCESSORIES</v>
      </c>
      <c r="C20" s="11"/>
      <c r="D20" s="2">
        <f>--231.32</f>
        <v>231.32</v>
      </c>
      <c r="E20" s="2"/>
      <c r="F20" s="22"/>
      <c r="G20" s="2"/>
      <c r="H20" s="2"/>
      <c r="I20" s="2"/>
      <c r="J20" s="22"/>
      <c r="K20" s="2"/>
      <c r="L20" s="2">
        <f t="shared" si="0"/>
        <v>231.32</v>
      </c>
      <c r="M20" s="2"/>
      <c r="N20" s="22">
        <f t="shared" si="1"/>
        <v>0</v>
      </c>
      <c r="O20" s="11"/>
      <c r="P20" s="2">
        <f>--1228.34</f>
        <v>1228.3399999999999</v>
      </c>
      <c r="Q20" s="2"/>
      <c r="R20" s="22"/>
      <c r="S20" s="2"/>
      <c r="T20" s="2"/>
      <c r="U20" s="2"/>
      <c r="V20" s="22"/>
      <c r="W20" s="2"/>
      <c r="X20" s="2">
        <f t="shared" si="2"/>
        <v>1228.3399999999999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--14.95</f>
        <v>14.95</v>
      </c>
      <c r="E21" s="2"/>
      <c r="F21" s="22"/>
      <c r="G21" s="2"/>
      <c r="H21" s="2"/>
      <c r="I21" s="2"/>
      <c r="J21" s="22"/>
      <c r="K21" s="2"/>
      <c r="L21" s="2">
        <f t="shared" si="0"/>
        <v>14.95</v>
      </c>
      <c r="M21" s="2"/>
      <c r="N21" s="22">
        <f t="shared" si="1"/>
        <v>0</v>
      </c>
      <c r="O21" s="11"/>
      <c r="P21" s="2">
        <f>--286.47</f>
        <v>286.47000000000003</v>
      </c>
      <c r="Q21" s="2"/>
      <c r="R21" s="22"/>
      <c r="S21" s="2"/>
      <c r="T21" s="2"/>
      <c r="U21" s="2"/>
      <c r="V21" s="22"/>
      <c r="W21" s="2"/>
      <c r="X21" s="2">
        <f t="shared" si="2"/>
        <v>286.47000000000003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"4131", " - ", "NON-TAXABLE SALES-FOOD")</f>
        <v xml:space="preserve">          4131 - NON-TAXABLE SALES-FOOD</v>
      </c>
      <c r="C22" s="11"/>
      <c r="D22" s="2">
        <f>--6</f>
        <v>6</v>
      </c>
      <c r="E22" s="2"/>
      <c r="F22" s="22"/>
      <c r="G22" s="2"/>
      <c r="H22" s="2"/>
      <c r="I22" s="2"/>
      <c r="J22" s="22"/>
      <c r="K22" s="2"/>
      <c r="L22" s="2">
        <f t="shared" si="0"/>
        <v>6</v>
      </c>
      <c r="M22" s="2"/>
      <c r="N22" s="22">
        <f t="shared" si="1"/>
        <v>0</v>
      </c>
      <c r="O22" s="11"/>
      <c r="P22" s="2">
        <f>--36</f>
        <v>36</v>
      </c>
      <c r="Q22" s="2"/>
      <c r="R22" s="22"/>
      <c r="S22" s="2"/>
      <c r="T22" s="2"/>
      <c r="U22" s="2"/>
      <c r="V22" s="22"/>
      <c r="W22" s="2"/>
      <c r="X22" s="2">
        <f t="shared" si="2"/>
        <v>36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"4137", " - ", "NON-TAXABLE SALES-WATER")</f>
        <v xml:space="preserve">          4137 - NON-TAXABLE SALES-WATER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--9</f>
        <v>9</v>
      </c>
      <c r="Q23" s="2"/>
      <c r="R23" s="22"/>
      <c r="S23" s="2"/>
      <c r="T23" s="2"/>
      <c r="U23" s="2"/>
      <c r="V23" s="22"/>
      <c r="W23" s="2"/>
      <c r="X23" s="2">
        <f t="shared" si="2"/>
        <v>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"4140", " - ", "NON-TAXABLE SALES-LOGO CLOTHIN")</f>
        <v xml:space="preserve">          4140 - NON-TAXABLE SALES-LOGO CLOTHIN</v>
      </c>
      <c r="C24" s="11"/>
      <c r="D24" s="2">
        <f>--24.95</f>
        <v>24.95</v>
      </c>
      <c r="E24" s="2"/>
      <c r="F24" s="22"/>
      <c r="G24" s="2"/>
      <c r="H24" s="2"/>
      <c r="I24" s="2"/>
      <c r="J24" s="22"/>
      <c r="K24" s="2"/>
      <c r="L24" s="2">
        <f t="shared" si="0"/>
        <v>24.95</v>
      </c>
      <c r="M24" s="2"/>
      <c r="N24" s="22">
        <f t="shared" si="1"/>
        <v>0</v>
      </c>
      <c r="O24" s="11"/>
      <c r="P24" s="2">
        <f>--165.78</f>
        <v>165.78</v>
      </c>
      <c r="Q24" s="2"/>
      <c r="R24" s="22"/>
      <c r="S24" s="2"/>
      <c r="T24" s="2"/>
      <c r="U24" s="2"/>
      <c r="V24" s="22"/>
      <c r="W24" s="2"/>
      <c r="X24" s="2">
        <f t="shared" si="2"/>
        <v>165.78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 t="shared" ref="D25:D27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--7</f>
        <v>7</v>
      </c>
      <c r="Q25" s="2"/>
      <c r="R25" s="22"/>
      <c r="S25" s="2"/>
      <c r="T25" s="2"/>
      <c r="U25" s="2"/>
      <c r="V25" s="22"/>
      <c r="W25" s="2"/>
      <c r="X25" s="2">
        <f t="shared" si="2"/>
        <v>7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"4226", " - ", "SALES RETURN TAXABLE-WRITING I")</f>
        <v xml:space="preserve">          4226 - SALES RETURN TAXABLE-WRITING I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-27.85</f>
        <v>-27.85</v>
      </c>
      <c r="Q26" s="2"/>
      <c r="R26" s="22"/>
      <c r="S26" s="2"/>
      <c r="T26" s="2"/>
      <c r="U26" s="2"/>
      <c r="V26" s="22"/>
      <c r="W26" s="2"/>
      <c r="X26" s="2">
        <f t="shared" si="2"/>
        <v>-27.85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 t="shared" si="4"/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-30</f>
        <v>-30</v>
      </c>
      <c r="Q27" s="2"/>
      <c r="R27" s="22"/>
      <c r="S27" s="2"/>
      <c r="T27" s="2"/>
      <c r="U27" s="2"/>
      <c r="V27" s="22"/>
      <c r="W27" s="2"/>
      <c r="X27" s="2">
        <f t="shared" si="2"/>
        <v>-30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-351.8</f>
        <v>-351.8</v>
      </c>
      <c r="E28" s="2"/>
      <c r="F28" s="22"/>
      <c r="G28" s="2"/>
      <c r="H28" s="2"/>
      <c r="I28" s="2"/>
      <c r="J28" s="22"/>
      <c r="K28" s="2"/>
      <c r="L28" s="2">
        <f t="shared" si="0"/>
        <v>-351.8</v>
      </c>
      <c r="M28" s="2"/>
      <c r="N28" s="22">
        <f t="shared" si="1"/>
        <v>0</v>
      </c>
      <c r="O28" s="11"/>
      <c r="P28" s="2">
        <f>-2773.03</f>
        <v>-2773.03</v>
      </c>
      <c r="Q28" s="2"/>
      <c r="R28" s="22"/>
      <c r="S28" s="2"/>
      <c r="T28" s="2"/>
      <c r="U28" s="2"/>
      <c r="V28" s="22"/>
      <c r="W28" s="2"/>
      <c r="X28" s="2">
        <f t="shared" si="2"/>
        <v>-2773.03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-26.9</f>
        <v>-26.9</v>
      </c>
      <c r="E29" s="2"/>
      <c r="F29" s="22"/>
      <c r="G29" s="2"/>
      <c r="H29" s="2"/>
      <c r="I29" s="2"/>
      <c r="J29" s="22"/>
      <c r="K29" s="2"/>
      <c r="L29" s="2">
        <f t="shared" si="0"/>
        <v>-26.9</v>
      </c>
      <c r="M29" s="2"/>
      <c r="N29" s="22">
        <f t="shared" si="1"/>
        <v>0</v>
      </c>
      <c r="O29" s="11"/>
      <c r="P29" s="2">
        <f>-150.4</f>
        <v>-150.4</v>
      </c>
      <c r="Q29" s="2"/>
      <c r="R29" s="22"/>
      <c r="S29" s="2"/>
      <c r="T29" s="2"/>
      <c r="U29" s="2"/>
      <c r="V29" s="22"/>
      <c r="W29" s="2"/>
      <c r="X29" s="2">
        <f t="shared" si="2"/>
        <v>-150.4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-2.98</f>
        <v>-2.98</v>
      </c>
      <c r="E30" s="2"/>
      <c r="F30" s="22"/>
      <c r="G30" s="2"/>
      <c r="H30" s="2"/>
      <c r="I30" s="2"/>
      <c r="J30" s="22"/>
      <c r="K30" s="2"/>
      <c r="L30" s="2">
        <f t="shared" si="0"/>
        <v>-2.98</v>
      </c>
      <c r="M30" s="2"/>
      <c r="N30" s="22">
        <f t="shared" si="1"/>
        <v>0</v>
      </c>
      <c r="O30" s="11"/>
      <c r="P30" s="2">
        <f>-114.78</f>
        <v>-114.78</v>
      </c>
      <c r="Q30" s="2"/>
      <c r="R30" s="22"/>
      <c r="S30" s="2"/>
      <c r="T30" s="2"/>
      <c r="U30" s="2"/>
      <c r="V30" s="22"/>
      <c r="W30" s="2"/>
      <c r="X30" s="2">
        <f t="shared" si="2"/>
        <v>-114.78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0</f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-7</f>
        <v>-7</v>
      </c>
      <c r="Q31" s="2"/>
      <c r="R31" s="22"/>
      <c r="S31" s="2"/>
      <c r="T31" s="2"/>
      <c r="U31" s="2"/>
      <c r="V31" s="22"/>
      <c r="W31" s="2"/>
      <c r="X31" s="2">
        <f t="shared" si="2"/>
        <v>-7</v>
      </c>
      <c r="Y31" s="2"/>
      <c r="Z31" s="22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6" t="s">
        <v>8</v>
      </c>
      <c r="C33" s="10"/>
      <c r="D33" s="4">
        <f>SUM(OSRRefD16x_0)</f>
        <v>8258</v>
      </c>
      <c r="E33" s="4"/>
      <c r="F33" s="12">
        <f t="shared" ref="F33:F38" si="5">IF(D$12=0,0,D33/D$12)</f>
        <v>0.46938429830514633</v>
      </c>
      <c r="G33" s="4"/>
      <c r="H33" s="4">
        <f>SUM(OSRRefH16x_0)</f>
        <v>15457</v>
      </c>
      <c r="I33" s="4"/>
      <c r="J33" s="12">
        <f t="shared" ref="J33:J38" si="6">IF(H$12=0,0,H33/H$12)</f>
        <v>0.42999415806604169</v>
      </c>
      <c r="K33" s="4"/>
      <c r="L33" s="4">
        <f t="shared" ref="L33:L38" si="7">+D33-H33</f>
        <v>-7199</v>
      </c>
      <c r="M33" s="4"/>
      <c r="N33" s="12">
        <f t="shared" ref="N33:N38" si="8">IF(H33=0,0,L33/H33)</f>
        <v>-0.46574367600439931</v>
      </c>
      <c r="O33" s="10"/>
      <c r="P33" s="4">
        <f>SUM(OSRRefP16x_0)</f>
        <v>43614</v>
      </c>
      <c r="Q33" s="4"/>
      <c r="R33" s="12">
        <f t="shared" ref="R33:R38" si="9">IF(P$12=0,0,P33/P$12)</f>
        <v>0.41139414830639248</v>
      </c>
      <c r="S33" s="4"/>
      <c r="T33" s="4">
        <f>SUM(OSRRefT16x_0)</f>
        <v>94897</v>
      </c>
      <c r="U33" s="4"/>
      <c r="V33" s="12">
        <f t="shared" ref="V33:V38" si="10">IF(T$12=0,0,T33/T$12)</f>
        <v>0.42999746252696064</v>
      </c>
      <c r="W33" s="4"/>
      <c r="X33" s="4">
        <f t="shared" ref="X33:X38" si="11">+P33-T33</f>
        <v>-51283</v>
      </c>
      <c r="Y33" s="4"/>
      <c r="Z33" s="12">
        <f t="shared" ref="Z33:Z38" si="12">IF(T33=0,0,X33/T33)</f>
        <v>-0.54040696755429574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2">
        <f t="shared" si="5"/>
        <v>0</v>
      </c>
      <c r="G34" s="2"/>
      <c r="H34" s="2">
        <v>15457</v>
      </c>
      <c r="I34" s="2"/>
      <c r="J34" s="22">
        <f t="shared" si="6"/>
        <v>0.42999415806604169</v>
      </c>
      <c r="K34" s="2"/>
      <c r="L34" s="2">
        <f t="shared" si="7"/>
        <v>-15457</v>
      </c>
      <c r="M34" s="2"/>
      <c r="N34" s="22">
        <f t="shared" si="8"/>
        <v>-1</v>
      </c>
      <c r="O34" s="11"/>
      <c r="P34" s="2"/>
      <c r="Q34" s="2"/>
      <c r="R34" s="22">
        <f t="shared" si="9"/>
        <v>0</v>
      </c>
      <c r="S34" s="2"/>
      <c r="T34" s="2">
        <v>94897</v>
      </c>
      <c r="U34" s="2"/>
      <c r="V34" s="22">
        <f t="shared" si="10"/>
        <v>0.42999746252696064</v>
      </c>
      <c r="W34" s="2"/>
      <c r="X34" s="2">
        <f t="shared" si="11"/>
        <v>-94897</v>
      </c>
      <c r="Y34" s="2"/>
      <c r="Z34" s="22">
        <f t="shared" si="12"/>
        <v>-1</v>
      </c>
    </row>
    <row r="35" spans="1:26" s="24" customFormat="1" hidden="1" outlineLevel="1" x14ac:dyDescent="0.25">
      <c r="A35" s="51"/>
      <c r="B35" s="11" t="str">
        <f>CONCATENATE("          ", "5041", " - ", "PURCHASES @ COST-LOGO GIFTS")</f>
        <v xml:space="preserve">          5041 - PURCHASES @ COST-LOGO GIFTS</v>
      </c>
      <c r="C35" s="11"/>
      <c r="D35" s="2"/>
      <c r="E35" s="2"/>
      <c r="F35" s="22">
        <f t="shared" si="5"/>
        <v>0</v>
      </c>
      <c r="G35" s="2"/>
      <c r="H35" s="2"/>
      <c r="I35" s="2"/>
      <c r="J35" s="22">
        <f t="shared" si="6"/>
        <v>0</v>
      </c>
      <c r="K35" s="2"/>
      <c r="L35" s="2">
        <f t="shared" si="7"/>
        <v>0</v>
      </c>
      <c r="M35" s="2"/>
      <c r="N35" s="22">
        <f t="shared" si="8"/>
        <v>0</v>
      </c>
      <c r="O35" s="11"/>
      <c r="P35" s="2">
        <v>207.6</v>
      </c>
      <c r="Q35" s="2"/>
      <c r="R35" s="22">
        <f t="shared" si="9"/>
        <v>1.958211243830125E-3</v>
      </c>
      <c r="S35" s="2"/>
      <c r="T35" s="2"/>
      <c r="U35" s="2"/>
      <c r="V35" s="22">
        <f t="shared" si="10"/>
        <v>0</v>
      </c>
      <c r="W35" s="2"/>
      <c r="X35" s="2">
        <f t="shared" si="11"/>
        <v>207.6</v>
      </c>
      <c r="Y35" s="2"/>
      <c r="Z35" s="22">
        <f t="shared" si="12"/>
        <v>0</v>
      </c>
    </row>
    <row r="36" spans="1:26" s="24" customFormat="1" hidden="1" outlineLevel="1" x14ac:dyDescent="0.25">
      <c r="A36" s="51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22">
        <f t="shared" si="5"/>
        <v>0</v>
      </c>
      <c r="G36" s="2"/>
      <c r="H36" s="2"/>
      <c r="I36" s="2"/>
      <c r="J36" s="22">
        <f t="shared" si="6"/>
        <v>0</v>
      </c>
      <c r="K36" s="2"/>
      <c r="L36" s="2">
        <f t="shared" si="7"/>
        <v>0</v>
      </c>
      <c r="M36" s="2"/>
      <c r="N36" s="22">
        <f t="shared" si="8"/>
        <v>0</v>
      </c>
      <c r="O36" s="11"/>
      <c r="P36" s="2">
        <v>7946.04</v>
      </c>
      <c r="Q36" s="2"/>
      <c r="R36" s="22">
        <f t="shared" si="9"/>
        <v>7.4951950250115265E-2</v>
      </c>
      <c r="S36" s="2"/>
      <c r="T36" s="2"/>
      <c r="U36" s="2"/>
      <c r="V36" s="22">
        <f t="shared" si="10"/>
        <v>0</v>
      </c>
      <c r="W36" s="2"/>
      <c r="X36" s="2">
        <f t="shared" si="11"/>
        <v>7946.04</v>
      </c>
      <c r="Y36" s="2"/>
      <c r="Z36" s="22">
        <f t="shared" si="12"/>
        <v>0</v>
      </c>
    </row>
    <row r="37" spans="1:26" s="24" customFormat="1" hidden="1" outlineLevel="1" x14ac:dyDescent="0.25">
      <c r="A37" s="51"/>
      <c r="B37" s="11" t="str">
        <f>CONCATENATE("          ", "5200", " - ", "PURCHASES OFFSET")</f>
        <v xml:space="preserve">          5200 - PURCHASES OFFSET</v>
      </c>
      <c r="C37" s="11"/>
      <c r="D37" s="2"/>
      <c r="E37" s="2"/>
      <c r="F37" s="22">
        <f t="shared" si="5"/>
        <v>0</v>
      </c>
      <c r="G37" s="2"/>
      <c r="H37" s="2"/>
      <c r="I37" s="2"/>
      <c r="J37" s="22">
        <f t="shared" si="6"/>
        <v>0</v>
      </c>
      <c r="K37" s="2"/>
      <c r="L37" s="2">
        <f t="shared" si="7"/>
        <v>0</v>
      </c>
      <c r="M37" s="2"/>
      <c r="N37" s="22">
        <f t="shared" si="8"/>
        <v>0</v>
      </c>
      <c r="O37" s="11"/>
      <c r="P37" s="2">
        <v>-8153.64</v>
      </c>
      <c r="Q37" s="2"/>
      <c r="R37" s="22">
        <f t="shared" si="9"/>
        <v>-7.6910161493945389E-2</v>
      </c>
      <c r="S37" s="2"/>
      <c r="T37" s="2"/>
      <c r="U37" s="2"/>
      <c r="V37" s="22">
        <f t="shared" si="10"/>
        <v>0</v>
      </c>
      <c r="W37" s="2"/>
      <c r="X37" s="2">
        <f t="shared" si="11"/>
        <v>-8153.64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"5300", " - ", "COG$ OFFSET")</f>
        <v xml:space="preserve">          5300 - COG$ OFFSET</v>
      </c>
      <c r="C38" s="11"/>
      <c r="D38" s="2">
        <v>8258</v>
      </c>
      <c r="E38" s="2"/>
      <c r="F38" s="22">
        <f t="shared" si="5"/>
        <v>0.46938429830514633</v>
      </c>
      <c r="G38" s="2"/>
      <c r="H38" s="2"/>
      <c r="I38" s="2"/>
      <c r="J38" s="22">
        <f t="shared" si="6"/>
        <v>0</v>
      </c>
      <c r="K38" s="2"/>
      <c r="L38" s="2">
        <f t="shared" si="7"/>
        <v>8258</v>
      </c>
      <c r="M38" s="2"/>
      <c r="N38" s="22">
        <f t="shared" si="8"/>
        <v>0</v>
      </c>
      <c r="O38" s="11"/>
      <c r="P38" s="2">
        <v>43614</v>
      </c>
      <c r="Q38" s="2"/>
      <c r="R38" s="22">
        <f t="shared" si="9"/>
        <v>0.41139414830639248</v>
      </c>
      <c r="S38" s="2"/>
      <c r="T38" s="2"/>
      <c r="U38" s="2"/>
      <c r="V38" s="22">
        <f t="shared" si="10"/>
        <v>0</v>
      </c>
      <c r="W38" s="2"/>
      <c r="X38" s="2">
        <f t="shared" si="11"/>
        <v>43614</v>
      </c>
      <c r="Y38" s="2"/>
      <c r="Z38" s="22">
        <f t="shared" si="12"/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5" t="s">
        <v>6</v>
      </c>
      <c r="C40" s="25"/>
      <c r="D40" s="21">
        <f>D12-D33</f>
        <v>9335.260000000002</v>
      </c>
      <c r="E40" s="13"/>
      <c r="F40" s="20">
        <f>IF(D$12=0,0,D40/D$12)</f>
        <v>0.53061570169485361</v>
      </c>
      <c r="G40" s="13"/>
      <c r="H40" s="21">
        <f>H12-H33</f>
        <v>20490</v>
      </c>
      <c r="I40" s="13"/>
      <c r="J40" s="20">
        <f>IF(H$12=0,0,H40/H$12)</f>
        <v>0.57000584193395831</v>
      </c>
      <c r="K40" s="16"/>
      <c r="L40" s="21">
        <f>+D40-H40</f>
        <v>-11154.739999999998</v>
      </c>
      <c r="M40" s="16"/>
      <c r="N40" s="20">
        <f>IF(H40=0,0,L40/H40)</f>
        <v>-0.54439921913128342</v>
      </c>
      <c r="O40" s="26"/>
      <c r="P40" s="21">
        <f>P12-P33</f>
        <v>62401.12000000001</v>
      </c>
      <c r="Q40" s="13"/>
      <c r="R40" s="20">
        <f>IF(P$12=0,0,P40/P$12)</f>
        <v>0.58860585169360746</v>
      </c>
      <c r="S40" s="13"/>
      <c r="T40" s="21">
        <f>T12-T33</f>
        <v>125795</v>
      </c>
      <c r="U40" s="13"/>
      <c r="V40" s="20">
        <f>IF(T$12=0,0,T40/T$12)</f>
        <v>0.57000253747303931</v>
      </c>
      <c r="W40" s="16"/>
      <c r="X40" s="21">
        <f>+P40-T40</f>
        <v>-63393.87999999999</v>
      </c>
      <c r="Y40" s="16"/>
      <c r="Z40" s="20">
        <f>IF(T40=0,0,X40/T40)</f>
        <v>-0.50394594379744817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6" t="s">
        <v>9</v>
      </c>
      <c r="C42" s="10"/>
      <c r="D42" s="19">
        <f>SUM(OSRRefD22x_0)</f>
        <v>20583.830000000005</v>
      </c>
      <c r="E42" s="19"/>
      <c r="F42" s="35">
        <f t="shared" ref="F42:F52" si="13">IF(D$12=0,0,D42/D$12)</f>
        <v>1.1699838460865128</v>
      </c>
      <c r="G42" s="19"/>
      <c r="H42" s="19">
        <f>SUM(OSRRefH22x_0)</f>
        <v>24296.595253846153</v>
      </c>
      <c r="I42" s="19"/>
      <c r="J42" s="35">
        <f t="shared" ref="J42:J52" si="14">IF(H$12=0,0,H42/H$12)</f>
        <v>0.67590049945325492</v>
      </c>
      <c r="K42" s="4"/>
      <c r="L42" s="19">
        <f t="shared" ref="L42:L52" si="15">+D42-H42</f>
        <v>-3712.765253846148</v>
      </c>
      <c r="M42" s="4"/>
      <c r="N42" s="35">
        <f t="shared" ref="N42:N52" si="16">IF(H42=0,0,L42/H42)</f>
        <v>-0.15281010425764971</v>
      </c>
      <c r="O42" s="10"/>
      <c r="P42" s="19">
        <f>SUM(OSRRefP22x_0)</f>
        <v>106425.79000000002</v>
      </c>
      <c r="Q42" s="19"/>
      <c r="R42" s="35">
        <f t="shared" ref="R42:R52" si="17">IF(P$12=0,0,P42/P$12)</f>
        <v>1.0038736927336405</v>
      </c>
      <c r="S42" s="19"/>
      <c r="T42" s="19">
        <f>SUM(OSRRefT22x_0)</f>
        <v>127404.73104615383</v>
      </c>
      <c r="U42" s="19"/>
      <c r="V42" s="35">
        <f t="shared" ref="V42:V52" si="18">IF(T$12=0,0,T42/T$12)</f>
        <v>0.57729655377700062</v>
      </c>
      <c r="W42" s="4"/>
      <c r="X42" s="19">
        <f t="shared" ref="X42:X52" si="19">+P42-T42</f>
        <v>-20978.941046153806</v>
      </c>
      <c r="Y42" s="4"/>
      <c r="Z42" s="35">
        <f t="shared" ref="Z42:Z52" si="20">IF(T42=0,0,X42/T42)</f>
        <v>-0.16466375207490486</v>
      </c>
    </row>
    <row r="43" spans="1:26" s="29" customFormat="1" outlineLevel="1" collapsed="1" x14ac:dyDescent="0.25">
      <c r="A43" s="27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5216.1000000000004</v>
      </c>
      <c r="E43" s="1"/>
      <c r="F43" s="5">
        <f t="shared" si="13"/>
        <v>0.2964828576398007</v>
      </c>
      <c r="G43" s="1"/>
      <c r="H43" s="1">
        <f>SUM(OSRRefH22_0x_0)</f>
        <v>2132.5183307692323</v>
      </c>
      <c r="I43" s="1"/>
      <c r="J43" s="5">
        <f t="shared" si="14"/>
        <v>5.9323958348936834E-2</v>
      </c>
      <c r="K43" s="1"/>
      <c r="L43" s="1">
        <f t="shared" si="15"/>
        <v>3083.5816692307681</v>
      </c>
      <c r="M43" s="1"/>
      <c r="N43" s="5">
        <f t="shared" si="16"/>
        <v>1.445981319240746</v>
      </c>
      <c r="O43" s="14"/>
      <c r="P43" s="1">
        <f>SUM(OSRRefP22_0x_0)</f>
        <v>26049.420000000002</v>
      </c>
      <c r="Q43" s="1"/>
      <c r="R43" s="5">
        <f t="shared" si="17"/>
        <v>0.24571419623917795</v>
      </c>
      <c r="S43" s="1"/>
      <c r="T43" s="1">
        <f>SUM(OSRRefT22_0x_0)</f>
        <v>12038.307969230773</v>
      </c>
      <c r="U43" s="1"/>
      <c r="V43" s="5">
        <f t="shared" si="18"/>
        <v>5.4548003413040676E-2</v>
      </c>
      <c r="W43" s="1"/>
      <c r="X43" s="1">
        <f t="shared" si="19"/>
        <v>14011.112030769229</v>
      </c>
      <c r="Y43" s="1"/>
      <c r="Z43" s="5">
        <f t="shared" si="20"/>
        <v>1.1638771882710452</v>
      </c>
    </row>
    <row r="44" spans="1:26" s="24" customFormat="1" hidden="1" outlineLevel="2" x14ac:dyDescent="0.25">
      <c r="A44" s="28"/>
      <c r="B44" s="11" t="str">
        <f>CONCATENATE("          ", "6111", " - ", "F.I.C.A.")</f>
        <v xml:space="preserve">          6111 - F.I.C.A.</v>
      </c>
      <c r="C44" s="11"/>
      <c r="D44" s="6">
        <v>643.12</v>
      </c>
      <c r="E44" s="2"/>
      <c r="F44" s="7">
        <f t="shared" si="13"/>
        <v>3.6554907959070689E-2</v>
      </c>
      <c r="G44" s="2"/>
      <c r="H44" s="6">
        <v>280.276407692308</v>
      </c>
      <c r="I44" s="2"/>
      <c r="J44" s="7">
        <f t="shared" si="14"/>
        <v>7.7969345895987979E-3</v>
      </c>
      <c r="K44" s="2"/>
      <c r="L44" s="6">
        <f t="shared" si="15"/>
        <v>362.84359230769201</v>
      </c>
      <c r="M44" s="2"/>
      <c r="N44" s="7">
        <f t="shared" si="16"/>
        <v>1.2945919897261835</v>
      </c>
      <c r="O44" s="11"/>
      <c r="P44" s="6">
        <v>3851.5</v>
      </c>
      <c r="Q44" s="2"/>
      <c r="R44" s="7">
        <f t="shared" si="17"/>
        <v>3.6329723533775178E-2</v>
      </c>
      <c r="S44" s="2"/>
      <c r="T44" s="6">
        <v>2433.4773923076941</v>
      </c>
      <c r="U44" s="2"/>
      <c r="V44" s="7">
        <f t="shared" si="18"/>
        <v>1.1026577276510676E-2</v>
      </c>
      <c r="W44" s="2"/>
      <c r="X44" s="6">
        <f t="shared" si="19"/>
        <v>1418.0226076923059</v>
      </c>
      <c r="Y44" s="2"/>
      <c r="Z44" s="7">
        <f t="shared" si="20"/>
        <v>0.58271451880947167</v>
      </c>
    </row>
    <row r="45" spans="1:26" s="24" customFormat="1" hidden="1" outlineLevel="2" x14ac:dyDescent="0.25">
      <c r="A45" s="28"/>
      <c r="B45" s="11" t="str">
        <f>CONCATENATE("          ", "6112", " - ", "COMPENSATION INSURANCE")</f>
        <v xml:space="preserve">          6112 - COMPENSATION INSURANCE</v>
      </c>
      <c r="C45" s="11"/>
      <c r="D45" s="6">
        <v>354.54</v>
      </c>
      <c r="E45" s="2"/>
      <c r="F45" s="7">
        <f t="shared" si="13"/>
        <v>2.0152035495411311E-2</v>
      </c>
      <c r="G45" s="2"/>
      <c r="H45" s="6">
        <v>163.58269230769201</v>
      </c>
      <c r="I45" s="2"/>
      <c r="J45" s="7">
        <f t="shared" si="14"/>
        <v>4.5506632627950044E-3</v>
      </c>
      <c r="K45" s="2"/>
      <c r="L45" s="6">
        <f t="shared" si="15"/>
        <v>190.95730769230801</v>
      </c>
      <c r="M45" s="2"/>
      <c r="N45" s="7">
        <f t="shared" si="16"/>
        <v>1.1673442037078441</v>
      </c>
      <c r="O45" s="11"/>
      <c r="P45" s="6">
        <v>1428.13</v>
      </c>
      <c r="Q45" s="2"/>
      <c r="R45" s="7">
        <f t="shared" si="17"/>
        <v>1.3471003004099792E-2</v>
      </c>
      <c r="S45" s="2"/>
      <c r="T45" s="6">
        <v>899.70480769230608</v>
      </c>
      <c r="U45" s="2"/>
      <c r="V45" s="7">
        <f t="shared" si="18"/>
        <v>4.0767440944497581E-3</v>
      </c>
      <c r="W45" s="2"/>
      <c r="X45" s="6">
        <f t="shared" si="19"/>
        <v>528.42519230769403</v>
      </c>
      <c r="Y45" s="2"/>
      <c r="Z45" s="7">
        <f t="shared" si="20"/>
        <v>0.58733174235566876</v>
      </c>
    </row>
    <row r="46" spans="1:26" s="24" customFormat="1" hidden="1" outlineLevel="2" x14ac:dyDescent="0.25">
      <c r="A46" s="28"/>
      <c r="B46" s="11" t="str">
        <f>CONCATENATE("          ", "6113", " - ", "GROUP INSURANCE")</f>
        <v xml:space="preserve">          6113 - GROUP INSURANCE</v>
      </c>
      <c r="C46" s="11"/>
      <c r="D46" s="6">
        <v>2714.98</v>
      </c>
      <c r="E46" s="2"/>
      <c r="F46" s="7">
        <f t="shared" si="13"/>
        <v>0.1543193245595188</v>
      </c>
      <c r="G46" s="2"/>
      <c r="H46" s="6">
        <v>990</v>
      </c>
      <c r="I46" s="2"/>
      <c r="J46" s="7">
        <f t="shared" si="14"/>
        <v>2.7540545803544106E-2</v>
      </c>
      <c r="K46" s="2"/>
      <c r="L46" s="6">
        <f t="shared" si="15"/>
        <v>1724.98</v>
      </c>
      <c r="M46" s="2"/>
      <c r="N46" s="7">
        <f t="shared" si="16"/>
        <v>1.7424040404040404</v>
      </c>
      <c r="O46" s="11"/>
      <c r="P46" s="6">
        <v>12872.39</v>
      </c>
      <c r="Q46" s="2"/>
      <c r="R46" s="7">
        <f t="shared" si="17"/>
        <v>0.12142032193143769</v>
      </c>
      <c r="S46" s="2"/>
      <c r="T46" s="6">
        <v>4950</v>
      </c>
      <c r="U46" s="2"/>
      <c r="V46" s="7">
        <f t="shared" si="18"/>
        <v>2.2429449187102386E-2</v>
      </c>
      <c r="W46" s="2"/>
      <c r="X46" s="6">
        <f t="shared" si="19"/>
        <v>7922.3899999999994</v>
      </c>
      <c r="Y46" s="2"/>
      <c r="Z46" s="7">
        <f t="shared" si="20"/>
        <v>1.6004828282828281</v>
      </c>
    </row>
    <row r="47" spans="1:26" s="24" customFormat="1" hidden="1" outlineLevel="2" x14ac:dyDescent="0.25">
      <c r="A47" s="28"/>
      <c r="B47" s="11" t="str">
        <f>CONCATENATE("          ", "6114", " - ", "STATE UNEMPLOYMENT INSURANCE")</f>
        <v xml:space="preserve">          6114 - STATE UNEMPLOYMENT INSURANCE</v>
      </c>
      <c r="C47" s="11"/>
      <c r="D47" s="6">
        <v>49.83</v>
      </c>
      <c r="E47" s="2"/>
      <c r="F47" s="7">
        <f t="shared" si="13"/>
        <v>2.8323346554305451E-3</v>
      </c>
      <c r="G47" s="2"/>
      <c r="H47" s="6">
        <v>22.99</v>
      </c>
      <c r="I47" s="2"/>
      <c r="J47" s="7">
        <f t="shared" si="14"/>
        <v>6.395526747711909E-4</v>
      </c>
      <c r="K47" s="2"/>
      <c r="L47" s="6">
        <f t="shared" si="15"/>
        <v>26.84</v>
      </c>
      <c r="M47" s="2"/>
      <c r="N47" s="7">
        <f t="shared" si="16"/>
        <v>1.167464114832536</v>
      </c>
      <c r="O47" s="11"/>
      <c r="P47" s="6">
        <v>174.37</v>
      </c>
      <c r="Q47" s="2"/>
      <c r="R47" s="7">
        <f t="shared" si="17"/>
        <v>1.6447653881823648E-3</v>
      </c>
      <c r="S47" s="2"/>
      <c r="T47" s="6">
        <v>126.44499999999999</v>
      </c>
      <c r="U47" s="2"/>
      <c r="V47" s="7">
        <f t="shared" si="18"/>
        <v>5.7294781867942653E-4</v>
      </c>
      <c r="W47" s="2"/>
      <c r="X47" s="6">
        <f t="shared" si="19"/>
        <v>47.925000000000011</v>
      </c>
      <c r="Y47" s="2"/>
      <c r="Z47" s="7">
        <f t="shared" si="20"/>
        <v>0.37901854561271708</v>
      </c>
    </row>
    <row r="48" spans="1:26" s="24" customFormat="1" hidden="1" outlineLevel="2" x14ac:dyDescent="0.25">
      <c r="A48" s="28"/>
      <c r="B48" s="11" t="str">
        <f>CONCATENATE("          ", "6115", " - ", "P.E.R.S.")</f>
        <v xml:space="preserve">          6115 - P.E.R.S.</v>
      </c>
      <c r="C48" s="11"/>
      <c r="D48" s="6">
        <v>362.12</v>
      </c>
      <c r="E48" s="2"/>
      <c r="F48" s="7">
        <f t="shared" si="13"/>
        <v>2.0582882308338532E-2</v>
      </c>
      <c r="G48" s="2"/>
      <c r="H48" s="6">
        <v>201.43846153846201</v>
      </c>
      <c r="I48" s="2"/>
      <c r="J48" s="7">
        <f t="shared" si="14"/>
        <v>5.6037628046418896E-3</v>
      </c>
      <c r="K48" s="2"/>
      <c r="L48" s="6">
        <f t="shared" si="15"/>
        <v>160.681538461538</v>
      </c>
      <c r="M48" s="2"/>
      <c r="N48" s="7">
        <f t="shared" si="16"/>
        <v>0.79767059991598466</v>
      </c>
      <c r="O48" s="11"/>
      <c r="P48" s="6">
        <v>1883.02</v>
      </c>
      <c r="Q48" s="2"/>
      <c r="R48" s="7">
        <f t="shared" si="17"/>
        <v>1.7761806051816004E-2</v>
      </c>
      <c r="S48" s="2"/>
      <c r="T48" s="6">
        <v>1107.91153846154</v>
      </c>
      <c r="U48" s="2"/>
      <c r="V48" s="7">
        <f t="shared" si="18"/>
        <v>5.020170819338898E-3</v>
      </c>
      <c r="W48" s="2"/>
      <c r="X48" s="6">
        <f t="shared" si="19"/>
        <v>775.10846153846001</v>
      </c>
      <c r="Y48" s="2"/>
      <c r="Z48" s="7">
        <f t="shared" si="20"/>
        <v>0.69961222952401547</v>
      </c>
    </row>
    <row r="49" spans="1:26" s="24" customFormat="1" hidden="1" outlineLevel="2" x14ac:dyDescent="0.25">
      <c r="A49" s="28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3"/>
        <v>0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0</v>
      </c>
      <c r="M49" s="2"/>
      <c r="N49" s="7">
        <f t="shared" si="16"/>
        <v>0</v>
      </c>
      <c r="O49" s="11"/>
      <c r="P49" s="6"/>
      <c r="Q49" s="2"/>
      <c r="R49" s="7">
        <f t="shared" si="17"/>
        <v>0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0</v>
      </c>
      <c r="Y49" s="2"/>
      <c r="Z49" s="7">
        <f t="shared" si="20"/>
        <v>0</v>
      </c>
    </row>
    <row r="50" spans="1:26" s="24" customFormat="1" hidden="1" outlineLevel="2" x14ac:dyDescent="0.25">
      <c r="A50" s="28"/>
      <c r="B50" s="11" t="str">
        <f>CONCATENATE("          ", "6118", " - ", "VACATION")</f>
        <v xml:space="preserve">          6118 - VACATION</v>
      </c>
      <c r="C50" s="11"/>
      <c r="D50" s="6">
        <v>498.76</v>
      </c>
      <c r="E50" s="2"/>
      <c r="F50" s="7">
        <f t="shared" si="13"/>
        <v>2.8349492930815547E-2</v>
      </c>
      <c r="G50" s="2"/>
      <c r="H50" s="6">
        <v>117.11538461538501</v>
      </c>
      <c r="I50" s="2"/>
      <c r="J50" s="7">
        <f t="shared" si="14"/>
        <v>3.2580016306057533E-3</v>
      </c>
      <c r="K50" s="2"/>
      <c r="L50" s="6">
        <f t="shared" si="15"/>
        <v>381.64461538461501</v>
      </c>
      <c r="M50" s="2"/>
      <c r="N50" s="7">
        <f t="shared" si="16"/>
        <v>3.2587060755336474</v>
      </c>
      <c r="O50" s="11"/>
      <c r="P50" s="6">
        <v>2646.93</v>
      </c>
      <c r="Q50" s="2"/>
      <c r="R50" s="7">
        <f t="shared" si="17"/>
        <v>2.4967476337337539E-2</v>
      </c>
      <c r="S50" s="2"/>
      <c r="T50" s="6">
        <v>644.13461538461695</v>
      </c>
      <c r="U50" s="2"/>
      <c r="V50" s="7">
        <f t="shared" si="18"/>
        <v>2.9187039647319201E-3</v>
      </c>
      <c r="W50" s="2"/>
      <c r="X50" s="6">
        <f t="shared" si="19"/>
        <v>2002.7953846153828</v>
      </c>
      <c r="Y50" s="2"/>
      <c r="Z50" s="7">
        <f t="shared" si="20"/>
        <v>3.1092807881773297</v>
      </c>
    </row>
    <row r="51" spans="1:26" s="24" customFormat="1" hidden="1" outlineLevel="2" x14ac:dyDescent="0.25">
      <c r="A51" s="28"/>
      <c r="B51" s="11" t="str">
        <f>CONCATENATE("          ", "6119", " - ", "SICK LEAVE")</f>
        <v xml:space="preserve">          6119 - SICK LEAVE</v>
      </c>
      <c r="C51" s="11"/>
      <c r="D51" s="6">
        <v>446.7</v>
      </c>
      <c r="E51" s="2"/>
      <c r="F51" s="7">
        <f t="shared" si="13"/>
        <v>2.5390405189259974E-2</v>
      </c>
      <c r="G51" s="2"/>
      <c r="H51" s="6">
        <v>182.11538461538501</v>
      </c>
      <c r="I51" s="2"/>
      <c r="J51" s="7">
        <f t="shared" si="14"/>
        <v>5.0662192843738008E-3</v>
      </c>
      <c r="K51" s="2"/>
      <c r="L51" s="6">
        <f t="shared" si="15"/>
        <v>264.58461538461495</v>
      </c>
      <c r="M51" s="2"/>
      <c r="N51" s="7">
        <f t="shared" si="16"/>
        <v>1.4528405491024232</v>
      </c>
      <c r="O51" s="11"/>
      <c r="P51" s="6">
        <v>2233.5</v>
      </c>
      <c r="Q51" s="2"/>
      <c r="R51" s="7">
        <f t="shared" si="17"/>
        <v>2.1067749581380465E-2</v>
      </c>
      <c r="S51" s="2"/>
      <c r="T51" s="6">
        <v>1001.6346153846169</v>
      </c>
      <c r="U51" s="2"/>
      <c r="V51" s="7">
        <f t="shared" si="18"/>
        <v>4.5386086282448706E-3</v>
      </c>
      <c r="W51" s="2"/>
      <c r="X51" s="6">
        <f t="shared" si="19"/>
        <v>1231.8653846153829</v>
      </c>
      <c r="Y51" s="2"/>
      <c r="Z51" s="7">
        <f t="shared" si="20"/>
        <v>1.2298550446385679</v>
      </c>
    </row>
    <row r="52" spans="1:26" s="24" customFormat="1" hidden="1" outlineLevel="2" x14ac:dyDescent="0.25">
      <c r="A52" s="28"/>
      <c r="B52" s="11" t="str">
        <f>CONCATENATE("          ", "6156", " - ", "EMPLOYEE MEALS")</f>
        <v xml:space="preserve">          6156 - EMPLOYEE MEALS</v>
      </c>
      <c r="C52" s="11"/>
      <c r="D52" s="6">
        <v>146.05000000000001</v>
      </c>
      <c r="E52" s="2"/>
      <c r="F52" s="7">
        <f t="shared" si="13"/>
        <v>8.301474541955272E-3</v>
      </c>
      <c r="G52" s="2"/>
      <c r="H52" s="6">
        <v>175</v>
      </c>
      <c r="I52" s="2"/>
      <c r="J52" s="7">
        <f t="shared" si="14"/>
        <v>4.8682782986062814E-3</v>
      </c>
      <c r="K52" s="2"/>
      <c r="L52" s="6">
        <f t="shared" si="15"/>
        <v>-28.949999999999989</v>
      </c>
      <c r="M52" s="2"/>
      <c r="N52" s="7">
        <f t="shared" si="16"/>
        <v>-0.16542857142857137</v>
      </c>
      <c r="O52" s="11"/>
      <c r="P52" s="6">
        <v>959.58</v>
      </c>
      <c r="Q52" s="2"/>
      <c r="R52" s="7">
        <f t="shared" si="17"/>
        <v>9.0513504111488993E-3</v>
      </c>
      <c r="S52" s="2"/>
      <c r="T52" s="6">
        <v>875</v>
      </c>
      <c r="U52" s="2"/>
      <c r="V52" s="7">
        <f t="shared" si="18"/>
        <v>3.9648016239827453E-3</v>
      </c>
      <c r="W52" s="2"/>
      <c r="X52" s="6">
        <f t="shared" si="19"/>
        <v>84.580000000000041</v>
      </c>
      <c r="Y52" s="2"/>
      <c r="Z52" s="7">
        <f t="shared" si="20"/>
        <v>9.6662857142857189E-2</v>
      </c>
    </row>
    <row r="53" spans="1:26" s="29" customFormat="1" outlineLevel="1" collapsed="1" x14ac:dyDescent="0.25">
      <c r="A53" s="27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7497.2</v>
      </c>
      <c r="E53" s="1"/>
      <c r="F53" s="5">
        <f t="shared" ref="F53:F63" si="21">IF(D$12=0,0,D53/D$12)</f>
        <v>0.42614046515540605</v>
      </c>
      <c r="G53" s="1"/>
      <c r="H53" s="1">
        <f>SUM(OSRRefH22_1x_0)</f>
        <v>8608.0769230769201</v>
      </c>
      <c r="I53" s="1"/>
      <c r="J53" s="5">
        <f t="shared" ref="J53:J63" si="22">IF(H$12=0,0,H53/H$12)</f>
        <v>0.23946579472770801</v>
      </c>
      <c r="K53" s="1"/>
      <c r="L53" s="1">
        <f t="shared" ref="L53:L63" si="23">+D53-H53</f>
        <v>-1110.8769230769203</v>
      </c>
      <c r="M53" s="1"/>
      <c r="N53" s="5">
        <f t="shared" ref="N53:N63" si="24">IF(H53=0,0,L53/H53)</f>
        <v>-0.12905053393503391</v>
      </c>
      <c r="O53" s="14"/>
      <c r="P53" s="1">
        <f>SUM(OSRRefP22_1x_0)</f>
        <v>39160.49</v>
      </c>
      <c r="Q53" s="1"/>
      <c r="R53" s="5">
        <f t="shared" ref="R53:R63" si="25">IF(P$12=0,0,P53/P$12)</f>
        <v>0.36938589514401338</v>
      </c>
      <c r="S53" s="1"/>
      <c r="T53" s="1">
        <f>SUM(OSRRefT22_1x_0)</f>
        <v>47344.423076923063</v>
      </c>
      <c r="U53" s="1"/>
      <c r="V53" s="5">
        <f t="shared" ref="V53:V63" si="26">IF(T$12=0,0,T53/T$12)</f>
        <v>0.21452713771646939</v>
      </c>
      <c r="W53" s="1"/>
      <c r="X53" s="1">
        <f t="shared" ref="X53:X63" si="27">+P53-T53</f>
        <v>-8183.9330769230655</v>
      </c>
      <c r="Y53" s="1"/>
      <c r="Z53" s="5">
        <f t="shared" ref="Z53:Z63" si="28">IF(T53=0,0,X53/T53)</f>
        <v>-0.17285949526993249</v>
      </c>
    </row>
    <row r="54" spans="1:26" s="24" customFormat="1" hidden="1" outlineLevel="2" x14ac:dyDescent="0.25">
      <c r="A54" s="28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/>
      <c r="Q54" s="2"/>
      <c r="R54" s="7">
        <f t="shared" si="25"/>
        <v>0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0</v>
      </c>
      <c r="Y54" s="2"/>
      <c r="Z54" s="7">
        <f t="shared" si="28"/>
        <v>0</v>
      </c>
    </row>
    <row r="55" spans="1:26" s="24" customFormat="1" hidden="1" outlineLevel="2" x14ac:dyDescent="0.25">
      <c r="A55" s="28"/>
      <c r="B55" s="11" t="str">
        <f>CONCATENATE("          ", "6002", " - ", "STAFF SALARIES")</f>
        <v xml:space="preserve">          6002 - STAFF SALARIES</v>
      </c>
      <c r="C55" s="11"/>
      <c r="D55" s="6">
        <v>3981.93</v>
      </c>
      <c r="E55" s="2"/>
      <c r="F55" s="7">
        <f t="shared" si="21"/>
        <v>0.22633269786270421</v>
      </c>
      <c r="G55" s="2"/>
      <c r="H55" s="6">
        <v>2108.0769230769201</v>
      </c>
      <c r="I55" s="2"/>
      <c r="J55" s="7">
        <f t="shared" si="22"/>
        <v>5.8644029350903279E-2</v>
      </c>
      <c r="K55" s="2"/>
      <c r="L55" s="6">
        <f t="shared" si="23"/>
        <v>1873.8530769230797</v>
      </c>
      <c r="M55" s="2"/>
      <c r="N55" s="7">
        <f t="shared" si="24"/>
        <v>0.88889217296114098</v>
      </c>
      <c r="O55" s="11"/>
      <c r="P55" s="6">
        <v>23423.1</v>
      </c>
      <c r="Q55" s="2"/>
      <c r="R55" s="7">
        <f t="shared" si="25"/>
        <v>0.22094112613370617</v>
      </c>
      <c r="S55" s="2"/>
      <c r="T55" s="6">
        <v>11594.42307692306</v>
      </c>
      <c r="U55" s="2"/>
      <c r="V55" s="7">
        <f t="shared" si="26"/>
        <v>5.2536671365174363E-2</v>
      </c>
      <c r="W55" s="2"/>
      <c r="X55" s="6">
        <f t="shared" si="27"/>
        <v>11828.676923076939</v>
      </c>
      <c r="Y55" s="2"/>
      <c r="Z55" s="7">
        <f t="shared" si="28"/>
        <v>1.020204010548841</v>
      </c>
    </row>
    <row r="56" spans="1:26" s="24" customFormat="1" hidden="1" outlineLevel="2" x14ac:dyDescent="0.25">
      <c r="A56" s="28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1"/>
        <v>0</v>
      </c>
      <c r="G56" s="2"/>
      <c r="H56" s="6">
        <v>0</v>
      </c>
      <c r="I56" s="2"/>
      <c r="J56" s="7">
        <f t="shared" si="22"/>
        <v>0</v>
      </c>
      <c r="K56" s="2"/>
      <c r="L56" s="6">
        <f t="shared" si="23"/>
        <v>0</v>
      </c>
      <c r="M56" s="2"/>
      <c r="N56" s="7">
        <f t="shared" si="24"/>
        <v>0</v>
      </c>
      <c r="O56" s="11"/>
      <c r="P56" s="6"/>
      <c r="Q56" s="2"/>
      <c r="R56" s="7">
        <f t="shared" si="25"/>
        <v>0</v>
      </c>
      <c r="S56" s="2"/>
      <c r="T56" s="6">
        <v>0</v>
      </c>
      <c r="U56" s="2"/>
      <c r="V56" s="7">
        <f t="shared" si="26"/>
        <v>0</v>
      </c>
      <c r="W56" s="2"/>
      <c r="X56" s="6">
        <f t="shared" si="27"/>
        <v>0</v>
      </c>
      <c r="Y56" s="2"/>
      <c r="Z56" s="7">
        <f t="shared" si="28"/>
        <v>0</v>
      </c>
    </row>
    <row r="57" spans="1:26" s="24" customFormat="1" hidden="1" outlineLevel="2" x14ac:dyDescent="0.25">
      <c r="A57" s="28"/>
      <c r="B57" s="11" t="str">
        <f>CONCATENATE("          ", "6004", " - ", "STAFF HOURLY")</f>
        <v xml:space="preserve">          6004 - STAFF HOURLY</v>
      </c>
      <c r="C57" s="11"/>
      <c r="D57" s="6">
        <v>500</v>
      </c>
      <c r="E57" s="2"/>
      <c r="F57" s="7">
        <f t="shared" si="21"/>
        <v>2.8419974467494936E-2</v>
      </c>
      <c r="G57" s="2"/>
      <c r="H57" s="6">
        <v>1320</v>
      </c>
      <c r="I57" s="2"/>
      <c r="J57" s="7">
        <f t="shared" si="22"/>
        <v>3.672072773805881E-2</v>
      </c>
      <c r="K57" s="2"/>
      <c r="L57" s="6">
        <f t="shared" si="23"/>
        <v>-820</v>
      </c>
      <c r="M57" s="2"/>
      <c r="N57" s="7">
        <f t="shared" si="24"/>
        <v>-0.62121212121212122</v>
      </c>
      <c r="O57" s="11"/>
      <c r="P57" s="6">
        <v>2350.44</v>
      </c>
      <c r="Q57" s="2"/>
      <c r="R57" s="7">
        <f t="shared" si="25"/>
        <v>2.2170799787803851E-2</v>
      </c>
      <c r="S57" s="2"/>
      <c r="T57" s="6">
        <v>7260</v>
      </c>
      <c r="U57" s="2"/>
      <c r="V57" s="7">
        <f t="shared" si="26"/>
        <v>3.2896525474416835E-2</v>
      </c>
      <c r="W57" s="2"/>
      <c r="X57" s="6">
        <f t="shared" si="27"/>
        <v>-4909.5599999999995</v>
      </c>
      <c r="Y57" s="2"/>
      <c r="Z57" s="7">
        <f t="shared" si="28"/>
        <v>-0.67624793388429749</v>
      </c>
    </row>
    <row r="58" spans="1:26" s="24" customFormat="1" hidden="1" outlineLevel="2" x14ac:dyDescent="0.25">
      <c r="A58" s="28"/>
      <c r="B58" s="11" t="str">
        <f>CONCATENATE("          ", "6005", " - ", "TEMPORARY WAGES-HOURLY")</f>
        <v xml:space="preserve">          6005 - TEMPORARY WAGES-HOURLY</v>
      </c>
      <c r="C58" s="11"/>
      <c r="D58" s="6">
        <v>1601.12</v>
      </c>
      <c r="E58" s="2"/>
      <c r="F58" s="7">
        <f t="shared" si="21"/>
        <v>9.1007579038790976E-2</v>
      </c>
      <c r="G58" s="2"/>
      <c r="H58" s="6">
        <v>0</v>
      </c>
      <c r="I58" s="2"/>
      <c r="J58" s="7">
        <f t="shared" si="22"/>
        <v>0</v>
      </c>
      <c r="K58" s="2"/>
      <c r="L58" s="6">
        <f t="shared" si="23"/>
        <v>1601.12</v>
      </c>
      <c r="M58" s="2"/>
      <c r="N58" s="7">
        <f t="shared" si="24"/>
        <v>0</v>
      </c>
      <c r="O58" s="11"/>
      <c r="P58" s="6">
        <v>6347.7</v>
      </c>
      <c r="Q58" s="2"/>
      <c r="R58" s="7">
        <f t="shared" si="25"/>
        <v>5.9875421543643954E-2</v>
      </c>
      <c r="S58" s="2"/>
      <c r="T58" s="6">
        <v>0</v>
      </c>
      <c r="U58" s="2"/>
      <c r="V58" s="7">
        <f t="shared" si="26"/>
        <v>0</v>
      </c>
      <c r="W58" s="2"/>
      <c r="X58" s="6">
        <f t="shared" si="27"/>
        <v>6347.7</v>
      </c>
      <c r="Y58" s="2"/>
      <c r="Z58" s="7">
        <f t="shared" si="28"/>
        <v>0</v>
      </c>
    </row>
    <row r="59" spans="1:26" s="24" customFormat="1" hidden="1" outlineLevel="2" x14ac:dyDescent="0.25">
      <c r="A59" s="28"/>
      <c r="B59" s="11" t="str">
        <f>CONCATENATE("          ", "6006", " - ", "TEMPORARY PART TIME")</f>
        <v xml:space="preserve">          6006 - TEMPORARY PART TIME</v>
      </c>
      <c r="C59" s="11"/>
      <c r="D59" s="6"/>
      <c r="E59" s="2"/>
      <c r="F59" s="7">
        <f t="shared" si="21"/>
        <v>0</v>
      </c>
      <c r="G59" s="2"/>
      <c r="H59" s="6">
        <v>0</v>
      </c>
      <c r="I59" s="2"/>
      <c r="J59" s="7">
        <f t="shared" si="22"/>
        <v>0</v>
      </c>
      <c r="K59" s="2"/>
      <c r="L59" s="6">
        <f t="shared" si="23"/>
        <v>0</v>
      </c>
      <c r="M59" s="2"/>
      <c r="N59" s="7">
        <f t="shared" si="24"/>
        <v>0</v>
      </c>
      <c r="O59" s="11"/>
      <c r="P59" s="6"/>
      <c r="Q59" s="2"/>
      <c r="R59" s="7">
        <f t="shared" si="25"/>
        <v>0</v>
      </c>
      <c r="S59" s="2"/>
      <c r="T59" s="6">
        <v>0</v>
      </c>
      <c r="U59" s="2"/>
      <c r="V59" s="7">
        <f t="shared" si="26"/>
        <v>0</v>
      </c>
      <c r="W59" s="2"/>
      <c r="X59" s="6">
        <f t="shared" si="27"/>
        <v>0</v>
      </c>
      <c r="Y59" s="2"/>
      <c r="Z59" s="7">
        <f t="shared" si="28"/>
        <v>0</v>
      </c>
    </row>
    <row r="60" spans="1:26" s="24" customFormat="1" hidden="1" outlineLevel="2" x14ac:dyDescent="0.25">
      <c r="A60" s="28"/>
      <c r="B60" s="11" t="str">
        <f>CONCATENATE("          ", "6007", " - ", "STUDENT HOURLY")</f>
        <v xml:space="preserve">          6007 - STUDENT HOURLY</v>
      </c>
      <c r="C60" s="11"/>
      <c r="D60" s="6">
        <v>1144.27</v>
      </c>
      <c r="E60" s="2"/>
      <c r="F60" s="7">
        <f t="shared" si="21"/>
        <v>6.5040248367840864E-2</v>
      </c>
      <c r="G60" s="2"/>
      <c r="H60" s="6">
        <v>0</v>
      </c>
      <c r="I60" s="2"/>
      <c r="J60" s="7">
        <f t="shared" si="22"/>
        <v>0</v>
      </c>
      <c r="K60" s="2"/>
      <c r="L60" s="6">
        <f t="shared" si="23"/>
        <v>1144.27</v>
      </c>
      <c r="M60" s="2"/>
      <c r="N60" s="7">
        <f t="shared" si="24"/>
        <v>0</v>
      </c>
      <c r="O60" s="11"/>
      <c r="P60" s="6">
        <v>5774.48</v>
      </c>
      <c r="Q60" s="2"/>
      <c r="R60" s="7">
        <f t="shared" si="25"/>
        <v>5.4468456952178133E-2</v>
      </c>
      <c r="S60" s="2"/>
      <c r="T60" s="6">
        <v>11655</v>
      </c>
      <c r="U60" s="2"/>
      <c r="V60" s="7">
        <f t="shared" si="26"/>
        <v>5.2811157631450167E-2</v>
      </c>
      <c r="W60" s="2"/>
      <c r="X60" s="6">
        <f t="shared" si="27"/>
        <v>-5880.52</v>
      </c>
      <c r="Y60" s="2"/>
      <c r="Z60" s="7">
        <f t="shared" si="28"/>
        <v>-0.5045491205491206</v>
      </c>
    </row>
    <row r="61" spans="1:26" s="24" customFormat="1" hidden="1" outlineLevel="2" x14ac:dyDescent="0.25">
      <c r="A61" s="28"/>
      <c r="B61" s="11" t="str">
        <f>CONCATENATE("          ", "6008", " - ", "STUDENT HOURLY-FICA EXEMPT")</f>
        <v xml:space="preserve">          6008 - STUDENT HOURLY-FICA EXEMPT</v>
      </c>
      <c r="C61" s="11"/>
      <c r="D61" s="6">
        <v>269.88</v>
      </c>
      <c r="E61" s="2"/>
      <c r="F61" s="7">
        <f t="shared" si="21"/>
        <v>1.5339965418575066E-2</v>
      </c>
      <c r="G61" s="2"/>
      <c r="H61" s="6">
        <v>5180</v>
      </c>
      <c r="I61" s="2"/>
      <c r="J61" s="7">
        <f t="shared" si="22"/>
        <v>0.14410103763874593</v>
      </c>
      <c r="K61" s="2"/>
      <c r="L61" s="6">
        <f t="shared" si="23"/>
        <v>-4910.12</v>
      </c>
      <c r="M61" s="2"/>
      <c r="N61" s="7">
        <f t="shared" si="24"/>
        <v>-0.94789961389961386</v>
      </c>
      <c r="O61" s="11"/>
      <c r="P61" s="6">
        <v>1264.77</v>
      </c>
      <c r="Q61" s="2"/>
      <c r="R61" s="7">
        <f t="shared" si="25"/>
        <v>1.1930090726681249E-2</v>
      </c>
      <c r="S61" s="2"/>
      <c r="T61" s="6">
        <v>16835</v>
      </c>
      <c r="U61" s="2"/>
      <c r="V61" s="7">
        <f t="shared" si="26"/>
        <v>7.6282783245428018E-2</v>
      </c>
      <c r="W61" s="2"/>
      <c r="X61" s="6">
        <f t="shared" si="27"/>
        <v>-15570.23</v>
      </c>
      <c r="Y61" s="2"/>
      <c r="Z61" s="7">
        <f t="shared" si="28"/>
        <v>-0.92487258687258689</v>
      </c>
    </row>
    <row r="62" spans="1:26" s="24" customFormat="1" hidden="1" outlineLevel="2" x14ac:dyDescent="0.25">
      <c r="A62" s="28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1"/>
        <v>0</v>
      </c>
      <c r="G62" s="2"/>
      <c r="H62" s="6">
        <v>0</v>
      </c>
      <c r="I62" s="2"/>
      <c r="J62" s="7">
        <f t="shared" si="22"/>
        <v>0</v>
      </c>
      <c r="K62" s="2"/>
      <c r="L62" s="6">
        <f t="shared" si="23"/>
        <v>0</v>
      </c>
      <c r="M62" s="2"/>
      <c r="N62" s="7">
        <f t="shared" si="24"/>
        <v>0</v>
      </c>
      <c r="O62" s="11"/>
      <c r="P62" s="6"/>
      <c r="Q62" s="2"/>
      <c r="R62" s="7">
        <f t="shared" si="25"/>
        <v>0</v>
      </c>
      <c r="S62" s="2"/>
      <c r="T62" s="6">
        <v>0</v>
      </c>
      <c r="U62" s="2"/>
      <c r="V62" s="7">
        <f t="shared" si="26"/>
        <v>0</v>
      </c>
      <c r="W62" s="2"/>
      <c r="X62" s="6">
        <f t="shared" si="27"/>
        <v>0</v>
      </c>
      <c r="Y62" s="2"/>
      <c r="Z62" s="7">
        <f t="shared" si="28"/>
        <v>0</v>
      </c>
    </row>
    <row r="63" spans="1:26" s="24" customFormat="1" hidden="1" outlineLevel="2" x14ac:dyDescent="0.25">
      <c r="A63" s="28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1"/>
        <v>0</v>
      </c>
      <c r="G63" s="2"/>
      <c r="H63" s="6">
        <v>0</v>
      </c>
      <c r="I63" s="2"/>
      <c r="J63" s="7">
        <f t="shared" si="22"/>
        <v>0</v>
      </c>
      <c r="K63" s="2"/>
      <c r="L63" s="6">
        <f t="shared" si="23"/>
        <v>0</v>
      </c>
      <c r="M63" s="2"/>
      <c r="N63" s="7">
        <f t="shared" si="24"/>
        <v>0</v>
      </c>
      <c r="O63" s="11"/>
      <c r="P63" s="6"/>
      <c r="Q63" s="2"/>
      <c r="R63" s="7">
        <f t="shared" si="25"/>
        <v>0</v>
      </c>
      <c r="S63" s="2"/>
      <c r="T63" s="6">
        <v>0</v>
      </c>
      <c r="U63" s="2"/>
      <c r="V63" s="7">
        <f t="shared" si="26"/>
        <v>0</v>
      </c>
      <c r="W63" s="2"/>
      <c r="X63" s="6">
        <f t="shared" si="27"/>
        <v>0</v>
      </c>
      <c r="Y63" s="2"/>
      <c r="Z63" s="7">
        <f t="shared" si="28"/>
        <v>0</v>
      </c>
    </row>
    <row r="64" spans="1:26" s="29" customFormat="1" outlineLevel="1" collapsed="1" x14ac:dyDescent="0.25">
      <c r="A64" s="27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35.28</v>
      </c>
      <c r="E64" s="1"/>
      <c r="F64" s="5">
        <f t="shared" ref="F64:F78" si="29">IF(D$12=0,0,D64/D$12)</f>
        <v>2.0053133984264428E-3</v>
      </c>
      <c r="G64" s="1"/>
      <c r="H64" s="1">
        <f>SUM(OSRRefH22_2x_0)</f>
        <v>50</v>
      </c>
      <c r="I64" s="1"/>
      <c r="J64" s="5">
        <f t="shared" ref="J64:J78" si="30">IF(H$12=0,0,H64/H$12)</f>
        <v>1.3909366567446519E-3</v>
      </c>
      <c r="K64" s="1"/>
      <c r="L64" s="1">
        <f t="shared" ref="L64:L78" si="31">+D64-H64</f>
        <v>-14.719999999999999</v>
      </c>
      <c r="M64" s="1"/>
      <c r="N64" s="5">
        <f t="shared" ref="N64:N78" si="32">IF(H64=0,0,L64/H64)</f>
        <v>-0.2944</v>
      </c>
      <c r="O64" s="14"/>
      <c r="P64" s="1">
        <f>SUM(OSRRefP22_2x_0)</f>
        <v>971.28</v>
      </c>
      <c r="Q64" s="1"/>
      <c r="R64" s="5">
        <f t="shared" ref="R64:R78" si="33">IF(P$12=0,0,P64/P$12)</f>
        <v>9.1617120274919261E-3</v>
      </c>
      <c r="S64" s="1"/>
      <c r="T64" s="1">
        <f>SUM(OSRRefT22_2x_0)</f>
        <v>250</v>
      </c>
      <c r="U64" s="1"/>
      <c r="V64" s="5">
        <f t="shared" ref="V64:V78" si="34">IF(T$12=0,0,T64/T$12)</f>
        <v>1.13280046399507E-3</v>
      </c>
      <c r="W64" s="1"/>
      <c r="X64" s="1">
        <f t="shared" ref="X64:X78" si="35">+P64-T64</f>
        <v>721.28</v>
      </c>
      <c r="Y64" s="1"/>
      <c r="Z64" s="5">
        <f t="shared" ref="Z64:Z78" si="36">IF(T64=0,0,X64/T64)</f>
        <v>2.8851199999999997</v>
      </c>
    </row>
    <row r="65" spans="1:26" s="24" customFormat="1" hidden="1" outlineLevel="2" x14ac:dyDescent="0.25">
      <c r="A65" s="28"/>
      <c r="B65" s="11" t="str">
        <f>CONCATENATE("          ", "6362", " - ", "ADVERTISING EXPENSE")</f>
        <v xml:space="preserve">          6362 - ADVERTISING EXPENSE</v>
      </c>
      <c r="C65" s="11"/>
      <c r="D65" s="6">
        <v>35.28</v>
      </c>
      <c r="E65" s="2"/>
      <c r="F65" s="7">
        <f t="shared" si="29"/>
        <v>2.0053133984264428E-3</v>
      </c>
      <c r="G65" s="2"/>
      <c r="H65" s="6">
        <v>50</v>
      </c>
      <c r="I65" s="2"/>
      <c r="J65" s="7">
        <f t="shared" si="30"/>
        <v>1.3909366567446519E-3</v>
      </c>
      <c r="K65" s="2"/>
      <c r="L65" s="6">
        <f t="shared" si="31"/>
        <v>-14.719999999999999</v>
      </c>
      <c r="M65" s="2"/>
      <c r="N65" s="7">
        <f t="shared" si="32"/>
        <v>-0.2944</v>
      </c>
      <c r="O65" s="11"/>
      <c r="P65" s="6">
        <v>971.28</v>
      </c>
      <c r="Q65" s="2"/>
      <c r="R65" s="7">
        <f t="shared" si="33"/>
        <v>9.1617120274919261E-3</v>
      </c>
      <c r="S65" s="2"/>
      <c r="T65" s="6">
        <v>250</v>
      </c>
      <c r="U65" s="2"/>
      <c r="V65" s="7">
        <f t="shared" si="34"/>
        <v>1.13280046399507E-3</v>
      </c>
      <c r="W65" s="2"/>
      <c r="X65" s="6">
        <f t="shared" si="35"/>
        <v>721.28</v>
      </c>
      <c r="Y65" s="2"/>
      <c r="Z65" s="7">
        <f t="shared" si="36"/>
        <v>2.8851199999999997</v>
      </c>
    </row>
    <row r="66" spans="1:26" s="29" customFormat="1" outlineLevel="1" collapsed="1" x14ac:dyDescent="0.25">
      <c r="A66" s="27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-0.48</v>
      </c>
      <c r="E66" s="1"/>
      <c r="F66" s="5">
        <f t="shared" si="29"/>
        <v>-2.7283175488795136E-5</v>
      </c>
      <c r="G66" s="1"/>
      <c r="H66" s="1">
        <f>SUM(OSRRefH22_3x_0)</f>
        <v>10</v>
      </c>
      <c r="I66" s="1"/>
      <c r="J66" s="5">
        <f t="shared" si="30"/>
        <v>2.7818733134893039E-4</v>
      </c>
      <c r="K66" s="1"/>
      <c r="L66" s="1">
        <f t="shared" si="31"/>
        <v>-10.48</v>
      </c>
      <c r="M66" s="1"/>
      <c r="N66" s="5">
        <f t="shared" si="32"/>
        <v>-1.048</v>
      </c>
      <c r="O66" s="14"/>
      <c r="P66" s="1">
        <f>SUM(OSRRefP22_3x_0)</f>
        <v>-1.01</v>
      </c>
      <c r="Q66" s="1"/>
      <c r="R66" s="5">
        <f t="shared" si="33"/>
        <v>-9.5269429492698766E-6</v>
      </c>
      <c r="S66" s="1"/>
      <c r="T66" s="1">
        <f>SUM(OSRRefT22_3x_0)</f>
        <v>50</v>
      </c>
      <c r="U66" s="1"/>
      <c r="V66" s="5">
        <f t="shared" si="34"/>
        <v>2.2656009279901402E-4</v>
      </c>
      <c r="W66" s="1"/>
      <c r="X66" s="1">
        <f t="shared" si="35"/>
        <v>-51.01</v>
      </c>
      <c r="Y66" s="1"/>
      <c r="Z66" s="5">
        <f t="shared" si="36"/>
        <v>-1.0202</v>
      </c>
    </row>
    <row r="67" spans="1:26" s="24" customFormat="1" hidden="1" outlineLevel="2" x14ac:dyDescent="0.25">
      <c r="A67" s="28"/>
      <c r="B67" s="11" t="str">
        <f>CONCATENATE("          ", "6272", " - ", "CASH (OVER/SHORT)")</f>
        <v xml:space="preserve">          6272 - CASH (OVER/SHORT)</v>
      </c>
      <c r="C67" s="11"/>
      <c r="D67" s="6">
        <v>-0.48</v>
      </c>
      <c r="E67" s="2"/>
      <c r="F67" s="7">
        <f t="shared" si="29"/>
        <v>-2.7283175488795136E-5</v>
      </c>
      <c r="G67" s="2"/>
      <c r="H67" s="6">
        <v>10</v>
      </c>
      <c r="I67" s="2"/>
      <c r="J67" s="7">
        <f t="shared" si="30"/>
        <v>2.7818733134893039E-4</v>
      </c>
      <c r="K67" s="2"/>
      <c r="L67" s="6">
        <f t="shared" si="31"/>
        <v>-10.48</v>
      </c>
      <c r="M67" s="2"/>
      <c r="N67" s="7">
        <f t="shared" si="32"/>
        <v>-1.048</v>
      </c>
      <c r="O67" s="11"/>
      <c r="P67" s="6">
        <v>-1.01</v>
      </c>
      <c r="Q67" s="2"/>
      <c r="R67" s="7">
        <f t="shared" si="33"/>
        <v>-9.5269429492698766E-6</v>
      </c>
      <c r="S67" s="2"/>
      <c r="T67" s="6">
        <v>50</v>
      </c>
      <c r="U67" s="2"/>
      <c r="V67" s="7">
        <f t="shared" si="34"/>
        <v>2.2656009279901402E-4</v>
      </c>
      <c r="W67" s="2"/>
      <c r="X67" s="6">
        <f t="shared" si="35"/>
        <v>-51.01</v>
      </c>
      <c r="Y67" s="2"/>
      <c r="Z67" s="7">
        <f t="shared" si="36"/>
        <v>-1.0202</v>
      </c>
    </row>
    <row r="68" spans="1:26" s="29" customFormat="1" outlineLevel="1" collapsed="1" x14ac:dyDescent="0.25">
      <c r="A68" s="27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315.25</v>
      </c>
      <c r="E68" s="1"/>
      <c r="F68" s="5">
        <f t="shared" si="29"/>
        <v>1.7918793901755558E-2</v>
      </c>
      <c r="G68" s="1"/>
      <c r="H68" s="1">
        <f>SUM(OSRRefH22_4x_0)</f>
        <v>600</v>
      </c>
      <c r="I68" s="1"/>
      <c r="J68" s="5">
        <f t="shared" si="30"/>
        <v>1.6691239880935821E-2</v>
      </c>
      <c r="K68" s="1"/>
      <c r="L68" s="1">
        <f t="shared" si="31"/>
        <v>-284.75</v>
      </c>
      <c r="M68" s="1"/>
      <c r="N68" s="5">
        <f t="shared" si="32"/>
        <v>-0.47458333333333336</v>
      </c>
      <c r="O68" s="14"/>
      <c r="P68" s="1">
        <f>SUM(OSRRefP22_4x_0)</f>
        <v>1672.92</v>
      </c>
      <c r="Q68" s="1"/>
      <c r="R68" s="5">
        <f t="shared" si="33"/>
        <v>1.578001326603224E-2</v>
      </c>
      <c r="S68" s="1"/>
      <c r="T68" s="1">
        <f>SUM(OSRRefT22_4x_0)</f>
        <v>2846</v>
      </c>
      <c r="U68" s="1"/>
      <c r="V68" s="5">
        <f t="shared" si="34"/>
        <v>1.2895800482119878E-2</v>
      </c>
      <c r="W68" s="1"/>
      <c r="X68" s="1">
        <f t="shared" si="35"/>
        <v>-1173.08</v>
      </c>
      <c r="Y68" s="1"/>
      <c r="Z68" s="5">
        <f t="shared" si="36"/>
        <v>-0.41218552354181304</v>
      </c>
    </row>
    <row r="69" spans="1:26" s="24" customFormat="1" hidden="1" outlineLevel="2" x14ac:dyDescent="0.25">
      <c r="A69" s="28"/>
      <c r="B69" s="11" t="str">
        <f>CONCATENATE("          ", "6381", " - ", "BANK/CREDIT CARD FEES")</f>
        <v xml:space="preserve">          6381 - BANK/CREDIT CARD FEES</v>
      </c>
      <c r="C69" s="11"/>
      <c r="D69" s="6">
        <v>315.25</v>
      </c>
      <c r="E69" s="2"/>
      <c r="F69" s="7">
        <f t="shared" si="29"/>
        <v>1.7918793901755558E-2</v>
      </c>
      <c r="G69" s="2"/>
      <c r="H69" s="6">
        <v>600</v>
      </c>
      <c r="I69" s="2"/>
      <c r="J69" s="7">
        <f t="shared" si="30"/>
        <v>1.6691239880935821E-2</v>
      </c>
      <c r="K69" s="2"/>
      <c r="L69" s="6">
        <f t="shared" si="31"/>
        <v>-284.75</v>
      </c>
      <c r="M69" s="2"/>
      <c r="N69" s="7">
        <f t="shared" si="32"/>
        <v>-0.47458333333333336</v>
      </c>
      <c r="O69" s="11"/>
      <c r="P69" s="6">
        <v>1672.92</v>
      </c>
      <c r="Q69" s="2"/>
      <c r="R69" s="7">
        <f t="shared" si="33"/>
        <v>1.578001326603224E-2</v>
      </c>
      <c r="S69" s="2"/>
      <c r="T69" s="6">
        <v>2846</v>
      </c>
      <c r="U69" s="2"/>
      <c r="V69" s="7">
        <f t="shared" si="34"/>
        <v>1.2895800482119878E-2</v>
      </c>
      <c r="W69" s="2"/>
      <c r="X69" s="6">
        <f t="shared" si="35"/>
        <v>-1173.08</v>
      </c>
      <c r="Y69" s="2"/>
      <c r="Z69" s="7">
        <f t="shared" si="36"/>
        <v>-0.41218552354181304</v>
      </c>
    </row>
    <row r="70" spans="1:26" s="29" customFormat="1" outlineLevel="1" collapsed="1" x14ac:dyDescent="0.25">
      <c r="A70" s="27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9"/>
        <v>0</v>
      </c>
      <c r="G70" s="1"/>
      <c r="H70" s="1">
        <f>SUM(OSRRefH22_5x_0)</f>
        <v>3595</v>
      </c>
      <c r="I70" s="1"/>
      <c r="J70" s="5">
        <f t="shared" si="30"/>
        <v>0.10000834561994047</v>
      </c>
      <c r="K70" s="1"/>
      <c r="L70" s="1">
        <f t="shared" si="31"/>
        <v>-3595</v>
      </c>
      <c r="M70" s="1"/>
      <c r="N70" s="5">
        <f t="shared" si="32"/>
        <v>-1</v>
      </c>
      <c r="O70" s="14"/>
      <c r="P70" s="1">
        <f>SUM(OSRRefP22_5x_0)</f>
        <v>0</v>
      </c>
      <c r="Q70" s="1"/>
      <c r="R70" s="5">
        <f t="shared" si="33"/>
        <v>0</v>
      </c>
      <c r="S70" s="1"/>
      <c r="T70" s="1">
        <f>SUM(OSRRefT22_5x_0)</f>
        <v>22070</v>
      </c>
      <c r="U70" s="1"/>
      <c r="V70" s="5">
        <f t="shared" si="34"/>
        <v>0.10000362496148478</v>
      </c>
      <c r="W70" s="1"/>
      <c r="X70" s="1">
        <f t="shared" si="35"/>
        <v>-22070</v>
      </c>
      <c r="Y70" s="1"/>
      <c r="Z70" s="5">
        <f t="shared" si="36"/>
        <v>-1</v>
      </c>
    </row>
    <row r="71" spans="1:26" s="24" customFormat="1" hidden="1" outlineLevel="2" x14ac:dyDescent="0.25">
      <c r="A71" s="28"/>
      <c r="B71" s="11" t="str">
        <f>CONCATENATE("          ", "6382", " - ", "DISCOUNTS/MARK DOWNS")</f>
        <v xml:space="preserve">          6382 - DISCOUNTS/MARK DOWNS</v>
      </c>
      <c r="C71" s="11"/>
      <c r="D71" s="6"/>
      <c r="E71" s="2"/>
      <c r="F71" s="7">
        <f t="shared" si="29"/>
        <v>0</v>
      </c>
      <c r="G71" s="2"/>
      <c r="H71" s="6">
        <v>3595</v>
      </c>
      <c r="I71" s="2"/>
      <c r="J71" s="7">
        <f t="shared" si="30"/>
        <v>0.10000834561994047</v>
      </c>
      <c r="K71" s="2"/>
      <c r="L71" s="6">
        <f t="shared" si="31"/>
        <v>-3595</v>
      </c>
      <c r="M71" s="2"/>
      <c r="N71" s="7">
        <f t="shared" si="32"/>
        <v>-1</v>
      </c>
      <c r="O71" s="11"/>
      <c r="P71" s="6">
        <v>0</v>
      </c>
      <c r="Q71" s="2"/>
      <c r="R71" s="7">
        <f t="shared" si="33"/>
        <v>0</v>
      </c>
      <c r="S71" s="2"/>
      <c r="T71" s="6">
        <v>22070</v>
      </c>
      <c r="U71" s="2"/>
      <c r="V71" s="7">
        <f t="shared" si="34"/>
        <v>0.10000362496148478</v>
      </c>
      <c r="W71" s="2"/>
      <c r="X71" s="6">
        <f t="shared" si="35"/>
        <v>-22070</v>
      </c>
      <c r="Y71" s="2"/>
      <c r="Z71" s="7">
        <f t="shared" si="36"/>
        <v>-1</v>
      </c>
    </row>
    <row r="72" spans="1:26" s="29" customFormat="1" outlineLevel="1" collapsed="1" x14ac:dyDescent="0.25">
      <c r="A72" s="27"/>
      <c r="B72" s="14" t="str">
        <f>CONCATENATE("     ","Donations                                         ")</f>
        <v xml:space="preserve">     Donations                                         </v>
      </c>
      <c r="C72" s="14"/>
      <c r="D72" s="1">
        <f>SUM(OSRRefD22_6x_0)</f>
        <v>0</v>
      </c>
      <c r="E72" s="1"/>
      <c r="F72" s="5">
        <f t="shared" si="29"/>
        <v>0</v>
      </c>
      <c r="G72" s="1"/>
      <c r="H72" s="1">
        <f>SUM(OSRRefH22_6x_0)</f>
        <v>0</v>
      </c>
      <c r="I72" s="1"/>
      <c r="J72" s="5">
        <f t="shared" si="30"/>
        <v>0</v>
      </c>
      <c r="K72" s="1"/>
      <c r="L72" s="1">
        <f t="shared" si="31"/>
        <v>0</v>
      </c>
      <c r="M72" s="1"/>
      <c r="N72" s="5">
        <f t="shared" si="32"/>
        <v>0</v>
      </c>
      <c r="O72" s="14"/>
      <c r="P72" s="1">
        <f>SUM(OSRRefP22_6x_0)</f>
        <v>0</v>
      </c>
      <c r="Q72" s="1"/>
      <c r="R72" s="5">
        <f t="shared" si="33"/>
        <v>0</v>
      </c>
      <c r="S72" s="1"/>
      <c r="T72" s="1">
        <f>SUM(OSRRefT22_6x_0)</f>
        <v>0</v>
      </c>
      <c r="U72" s="1"/>
      <c r="V72" s="5">
        <f t="shared" si="34"/>
        <v>0</v>
      </c>
      <c r="W72" s="1"/>
      <c r="X72" s="1">
        <f t="shared" si="35"/>
        <v>0</v>
      </c>
      <c r="Y72" s="1"/>
      <c r="Z72" s="5">
        <f t="shared" si="36"/>
        <v>0</v>
      </c>
    </row>
    <row r="73" spans="1:26" s="24" customFormat="1" hidden="1" outlineLevel="2" x14ac:dyDescent="0.25">
      <c r="A73" s="28"/>
      <c r="B73" s="11" t="str">
        <f>CONCATENATE("          ", "6395", " - ", "DONATION-OFF CAMPUS")</f>
        <v xml:space="preserve">          6395 - DONATION-OFF CAMPUS</v>
      </c>
      <c r="C73" s="11"/>
      <c r="D73" s="6"/>
      <c r="E73" s="2"/>
      <c r="F73" s="7">
        <f t="shared" si="29"/>
        <v>0</v>
      </c>
      <c r="G73" s="2"/>
      <c r="H73" s="6"/>
      <c r="I73" s="2"/>
      <c r="J73" s="7">
        <f t="shared" si="30"/>
        <v>0</v>
      </c>
      <c r="K73" s="2"/>
      <c r="L73" s="6">
        <f t="shared" si="31"/>
        <v>0</v>
      </c>
      <c r="M73" s="2"/>
      <c r="N73" s="7">
        <f t="shared" si="32"/>
        <v>0</v>
      </c>
      <c r="O73" s="11"/>
      <c r="P73" s="6"/>
      <c r="Q73" s="2"/>
      <c r="R73" s="7">
        <f t="shared" si="33"/>
        <v>0</v>
      </c>
      <c r="S73" s="2"/>
      <c r="T73" s="6">
        <v>0</v>
      </c>
      <c r="U73" s="2"/>
      <c r="V73" s="7">
        <f t="shared" si="34"/>
        <v>0</v>
      </c>
      <c r="W73" s="2"/>
      <c r="X73" s="6">
        <f t="shared" si="35"/>
        <v>0</v>
      </c>
      <c r="Y73" s="2"/>
      <c r="Z73" s="7">
        <f t="shared" si="36"/>
        <v>0</v>
      </c>
    </row>
    <row r="74" spans="1:26" s="29" customFormat="1" outlineLevel="1" collapsed="1" x14ac:dyDescent="0.25">
      <c r="A74" s="27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SUM(OSRRefD22_7x_0)</f>
        <v>0</v>
      </c>
      <c r="E74" s="1"/>
      <c r="F74" s="5">
        <f t="shared" si="29"/>
        <v>0</v>
      </c>
      <c r="G74" s="1"/>
      <c r="H74" s="1">
        <f>SUM(OSRRefH22_7x_0)</f>
        <v>50</v>
      </c>
      <c r="I74" s="1"/>
      <c r="J74" s="5">
        <f t="shared" si="30"/>
        <v>1.3909366567446519E-3</v>
      </c>
      <c r="K74" s="1"/>
      <c r="L74" s="1">
        <f t="shared" si="31"/>
        <v>-50</v>
      </c>
      <c r="M74" s="1"/>
      <c r="N74" s="5">
        <f t="shared" si="32"/>
        <v>-1</v>
      </c>
      <c r="O74" s="14"/>
      <c r="P74" s="1">
        <f>SUM(OSRRefP22_7x_0)</f>
        <v>0</v>
      </c>
      <c r="Q74" s="1"/>
      <c r="R74" s="5">
        <f t="shared" si="33"/>
        <v>0</v>
      </c>
      <c r="S74" s="1"/>
      <c r="T74" s="1">
        <f>SUM(OSRRefT22_7x_0)</f>
        <v>250</v>
      </c>
      <c r="U74" s="1"/>
      <c r="V74" s="5">
        <f t="shared" si="34"/>
        <v>1.13280046399507E-3</v>
      </c>
      <c r="W74" s="1"/>
      <c r="X74" s="1">
        <f t="shared" si="35"/>
        <v>-250</v>
      </c>
      <c r="Y74" s="1"/>
      <c r="Z74" s="5">
        <f t="shared" si="36"/>
        <v>-1</v>
      </c>
    </row>
    <row r="75" spans="1:26" s="24" customFormat="1" hidden="1" outlineLevel="2" x14ac:dyDescent="0.25">
      <c r="A75" s="28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29"/>
        <v>0</v>
      </c>
      <c r="G75" s="2"/>
      <c r="H75" s="6">
        <v>50</v>
      </c>
      <c r="I75" s="2"/>
      <c r="J75" s="7">
        <f t="shared" si="30"/>
        <v>1.3909366567446519E-3</v>
      </c>
      <c r="K75" s="2"/>
      <c r="L75" s="6">
        <f t="shared" si="31"/>
        <v>-50</v>
      </c>
      <c r="M75" s="2"/>
      <c r="N75" s="7">
        <f t="shared" si="32"/>
        <v>-1</v>
      </c>
      <c r="O75" s="11"/>
      <c r="P75" s="6"/>
      <c r="Q75" s="2"/>
      <c r="R75" s="7">
        <f t="shared" si="33"/>
        <v>0</v>
      </c>
      <c r="S75" s="2"/>
      <c r="T75" s="6">
        <v>250</v>
      </c>
      <c r="U75" s="2"/>
      <c r="V75" s="7">
        <f t="shared" si="34"/>
        <v>1.13280046399507E-3</v>
      </c>
      <c r="W75" s="2"/>
      <c r="X75" s="6">
        <f t="shared" si="35"/>
        <v>-250</v>
      </c>
      <c r="Y75" s="2"/>
      <c r="Z75" s="7">
        <f t="shared" si="36"/>
        <v>-1</v>
      </c>
    </row>
    <row r="76" spans="1:26" s="29" customFormat="1" outlineLevel="1" collapsed="1" x14ac:dyDescent="0.25">
      <c r="A76" s="27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si="29"/>
        <v>0</v>
      </c>
      <c r="G76" s="1"/>
      <c r="H76" s="1">
        <f>SUM(OSRRefH22_8x_0)</f>
        <v>1300</v>
      </c>
      <c r="I76" s="1"/>
      <c r="J76" s="5">
        <f t="shared" si="30"/>
        <v>3.616435307536095E-2</v>
      </c>
      <c r="K76" s="1"/>
      <c r="L76" s="1">
        <f t="shared" si="31"/>
        <v>-1300</v>
      </c>
      <c r="M76" s="1"/>
      <c r="N76" s="5">
        <f t="shared" si="32"/>
        <v>-1</v>
      </c>
      <c r="O76" s="14"/>
      <c r="P76" s="1">
        <f>SUM(OSRRefP22_8x_0)</f>
        <v>0</v>
      </c>
      <c r="Q76" s="1"/>
      <c r="R76" s="5">
        <f t="shared" si="33"/>
        <v>0</v>
      </c>
      <c r="S76" s="1"/>
      <c r="T76" s="1">
        <f>SUM(OSRRefT22_8x_0)</f>
        <v>1500</v>
      </c>
      <c r="U76" s="1"/>
      <c r="V76" s="5">
        <f t="shared" si="34"/>
        <v>6.7968027839704201E-3</v>
      </c>
      <c r="W76" s="1"/>
      <c r="X76" s="1">
        <f t="shared" si="35"/>
        <v>-1500</v>
      </c>
      <c r="Y76" s="1"/>
      <c r="Z76" s="5">
        <f t="shared" si="36"/>
        <v>-1</v>
      </c>
    </row>
    <row r="77" spans="1:26" s="24" customFormat="1" hidden="1" outlineLevel="2" x14ac:dyDescent="0.25">
      <c r="A77" s="28"/>
      <c r="B77" s="11" t="str">
        <f>CONCATENATE("          ", "6276", " - ", "PROPERTY TAX")</f>
        <v xml:space="preserve">          6276 - PROPERTY TAX</v>
      </c>
      <c r="C77" s="11"/>
      <c r="D77" s="6"/>
      <c r="E77" s="2"/>
      <c r="F77" s="7">
        <f t="shared" si="29"/>
        <v>0</v>
      </c>
      <c r="G77" s="2"/>
      <c r="H77" s="6"/>
      <c r="I77" s="2"/>
      <c r="J77" s="7">
        <f t="shared" si="30"/>
        <v>0</v>
      </c>
      <c r="K77" s="2"/>
      <c r="L77" s="6">
        <f t="shared" si="31"/>
        <v>0</v>
      </c>
      <c r="M77" s="2"/>
      <c r="N77" s="7">
        <f t="shared" si="32"/>
        <v>0</v>
      </c>
      <c r="O77" s="11"/>
      <c r="P77" s="6"/>
      <c r="Q77" s="2"/>
      <c r="R77" s="7">
        <f t="shared" si="33"/>
        <v>0</v>
      </c>
      <c r="S77" s="2"/>
      <c r="T77" s="6">
        <v>150</v>
      </c>
      <c r="U77" s="2"/>
      <c r="V77" s="7">
        <f t="shared" si="34"/>
        <v>6.7968027839704207E-4</v>
      </c>
      <c r="W77" s="2"/>
      <c r="X77" s="6">
        <f t="shared" si="35"/>
        <v>-150</v>
      </c>
      <c r="Y77" s="2"/>
      <c r="Z77" s="7">
        <f t="shared" si="36"/>
        <v>-1</v>
      </c>
    </row>
    <row r="78" spans="1:26" s="24" customFormat="1" hidden="1" outlineLevel="2" x14ac:dyDescent="0.25">
      <c r="A78" s="28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29"/>
        <v>0</v>
      </c>
      <c r="G78" s="2"/>
      <c r="H78" s="6">
        <v>1300</v>
      </c>
      <c r="I78" s="2"/>
      <c r="J78" s="7">
        <f t="shared" si="30"/>
        <v>3.616435307536095E-2</v>
      </c>
      <c r="K78" s="2"/>
      <c r="L78" s="6">
        <f t="shared" si="31"/>
        <v>-1300</v>
      </c>
      <c r="M78" s="2"/>
      <c r="N78" s="7">
        <f t="shared" si="32"/>
        <v>-1</v>
      </c>
      <c r="O78" s="11"/>
      <c r="P78" s="6"/>
      <c r="Q78" s="2"/>
      <c r="R78" s="7">
        <f t="shared" si="33"/>
        <v>0</v>
      </c>
      <c r="S78" s="2"/>
      <c r="T78" s="6">
        <v>1350</v>
      </c>
      <c r="U78" s="2"/>
      <c r="V78" s="7">
        <f t="shared" si="34"/>
        <v>6.1171225055733783E-3</v>
      </c>
      <c r="W78" s="2"/>
      <c r="X78" s="6">
        <f t="shared" si="35"/>
        <v>-1350</v>
      </c>
      <c r="Y78" s="2"/>
      <c r="Z78" s="7">
        <f t="shared" si="36"/>
        <v>-1</v>
      </c>
    </row>
    <row r="79" spans="1:26" s="29" customFormat="1" outlineLevel="1" collapsed="1" x14ac:dyDescent="0.25">
      <c r="A79" s="27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SUM(OSRRefD22_9x_0)</f>
        <v>161.18</v>
      </c>
      <c r="E79" s="1"/>
      <c r="F79" s="5">
        <f t="shared" ref="F79:F89" si="37">IF(D$12=0,0,D79/D$12)</f>
        <v>9.1614629693416681E-3</v>
      </c>
      <c r="G79" s="1"/>
      <c r="H79" s="1">
        <f>SUM(OSRRefH22_9x_0)</f>
        <v>176</v>
      </c>
      <c r="I79" s="1"/>
      <c r="J79" s="5">
        <f t="shared" ref="J79:J89" si="38">IF(H$12=0,0,H79/H$12)</f>
        <v>4.8960970317411742E-3</v>
      </c>
      <c r="K79" s="1"/>
      <c r="L79" s="1">
        <f t="shared" ref="L79:L89" si="39">+D79-H79</f>
        <v>-14.819999999999993</v>
      </c>
      <c r="M79" s="1"/>
      <c r="N79" s="5">
        <f t="shared" ref="N79:N89" si="40">IF(H79=0,0,L79/H79)</f>
        <v>-8.4204545454545421E-2</v>
      </c>
      <c r="O79" s="14"/>
      <c r="P79" s="1">
        <f>SUM(OSRRefP22_9x_0)</f>
        <v>805.9</v>
      </c>
      <c r="Q79" s="1"/>
      <c r="R79" s="5">
        <f t="shared" ref="R79:R89" si="41">IF(P$12=0,0,P79/P$12)</f>
        <v>7.6017458641748454E-3</v>
      </c>
      <c r="S79" s="1"/>
      <c r="T79" s="1">
        <f>SUM(OSRRefT22_9x_0)</f>
        <v>880</v>
      </c>
      <c r="U79" s="1"/>
      <c r="V79" s="5">
        <f t="shared" ref="V79:V89" si="42">IF(T$12=0,0,T79/T$12)</f>
        <v>3.987457633262647E-3</v>
      </c>
      <c r="W79" s="1"/>
      <c r="X79" s="1">
        <f t="shared" ref="X79:X89" si="43">+P79-T79</f>
        <v>-74.100000000000023</v>
      </c>
      <c r="Y79" s="1"/>
      <c r="Z79" s="5">
        <f t="shared" ref="Z79:Z89" si="44">IF(T79=0,0,X79/T79)</f>
        <v>-8.4204545454545476E-2</v>
      </c>
    </row>
    <row r="80" spans="1:26" s="24" customFormat="1" hidden="1" outlineLevel="2" x14ac:dyDescent="0.25">
      <c r="A80" s="28"/>
      <c r="B80" s="11" t="str">
        <f>CONCATENATE("          ", "6314", " - ", "LIABILITY INSURANCE")</f>
        <v xml:space="preserve">          6314 - LIABILITY INSURANCE</v>
      </c>
      <c r="C80" s="11"/>
      <c r="D80" s="6">
        <v>161.18</v>
      </c>
      <c r="E80" s="2"/>
      <c r="F80" s="7">
        <f t="shared" si="37"/>
        <v>9.1614629693416681E-3</v>
      </c>
      <c r="G80" s="2"/>
      <c r="H80" s="6">
        <v>176</v>
      </c>
      <c r="I80" s="2"/>
      <c r="J80" s="7">
        <f t="shared" si="38"/>
        <v>4.8960970317411742E-3</v>
      </c>
      <c r="K80" s="2"/>
      <c r="L80" s="6">
        <f t="shared" si="39"/>
        <v>-14.819999999999993</v>
      </c>
      <c r="M80" s="2"/>
      <c r="N80" s="7">
        <f t="shared" si="40"/>
        <v>-8.4204545454545421E-2</v>
      </c>
      <c r="O80" s="11"/>
      <c r="P80" s="6">
        <v>805.9</v>
      </c>
      <c r="Q80" s="2"/>
      <c r="R80" s="7">
        <f t="shared" si="41"/>
        <v>7.6017458641748454E-3</v>
      </c>
      <c r="S80" s="2"/>
      <c r="T80" s="6">
        <v>880</v>
      </c>
      <c r="U80" s="2"/>
      <c r="V80" s="7">
        <f t="shared" si="42"/>
        <v>3.987457633262647E-3</v>
      </c>
      <c r="W80" s="2"/>
      <c r="X80" s="6">
        <f t="shared" si="43"/>
        <v>-74.100000000000023</v>
      </c>
      <c r="Y80" s="2"/>
      <c r="Z80" s="7">
        <f t="shared" si="44"/>
        <v>-8.4204545454545476E-2</v>
      </c>
    </row>
    <row r="81" spans="1:26" s="29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100</v>
      </c>
      <c r="E81" s="1"/>
      <c r="F81" s="5">
        <f t="shared" si="37"/>
        <v>5.683994893498987E-3</v>
      </c>
      <c r="G81" s="1"/>
      <c r="H81" s="1">
        <f>SUM(OSRRefH22_10x_0)</f>
        <v>100</v>
      </c>
      <c r="I81" s="1"/>
      <c r="J81" s="5">
        <f t="shared" si="38"/>
        <v>2.7818733134893038E-3</v>
      </c>
      <c r="K81" s="1"/>
      <c r="L81" s="1">
        <f t="shared" si="39"/>
        <v>0</v>
      </c>
      <c r="M81" s="1"/>
      <c r="N81" s="5">
        <f t="shared" si="40"/>
        <v>0</v>
      </c>
      <c r="O81" s="14"/>
      <c r="P81" s="1">
        <f>SUM(OSRRefP22_10x_0)</f>
        <v>500</v>
      </c>
      <c r="Q81" s="1"/>
      <c r="R81" s="5">
        <f t="shared" si="41"/>
        <v>4.7163083907276618E-3</v>
      </c>
      <c r="S81" s="1"/>
      <c r="T81" s="1">
        <f>SUM(OSRRefT22_10x_0)</f>
        <v>500</v>
      </c>
      <c r="U81" s="1"/>
      <c r="V81" s="5">
        <f t="shared" si="42"/>
        <v>2.26560092799014E-3</v>
      </c>
      <c r="W81" s="1"/>
      <c r="X81" s="1">
        <f t="shared" si="43"/>
        <v>0</v>
      </c>
      <c r="Y81" s="1"/>
      <c r="Z81" s="5">
        <f t="shared" si="44"/>
        <v>0</v>
      </c>
    </row>
    <row r="82" spans="1:26" s="24" customFormat="1" hidden="1" outlineLevel="2" x14ac:dyDescent="0.25">
      <c r="A82" s="28"/>
      <c r="B82" s="11" t="str">
        <f>CONCATENATE("          ", "6408", " - ", "INVENTORY ADJUSTMENT")</f>
        <v xml:space="preserve">          6408 - INVENTORY ADJUSTMENT</v>
      </c>
      <c r="C82" s="11"/>
      <c r="D82" s="6">
        <v>100</v>
      </c>
      <c r="E82" s="2"/>
      <c r="F82" s="7">
        <f t="shared" si="37"/>
        <v>5.683994893498987E-3</v>
      </c>
      <c r="G82" s="2"/>
      <c r="H82" s="6">
        <v>100</v>
      </c>
      <c r="I82" s="2"/>
      <c r="J82" s="7">
        <f t="shared" si="38"/>
        <v>2.7818733134893038E-3</v>
      </c>
      <c r="K82" s="2"/>
      <c r="L82" s="6">
        <f t="shared" si="39"/>
        <v>0</v>
      </c>
      <c r="M82" s="2"/>
      <c r="N82" s="7">
        <f t="shared" si="40"/>
        <v>0</v>
      </c>
      <c r="O82" s="11"/>
      <c r="P82" s="6">
        <v>500</v>
      </c>
      <c r="Q82" s="2"/>
      <c r="R82" s="7">
        <f t="shared" si="41"/>
        <v>4.7163083907276618E-3</v>
      </c>
      <c r="S82" s="2"/>
      <c r="T82" s="6">
        <v>500</v>
      </c>
      <c r="U82" s="2"/>
      <c r="V82" s="7">
        <f t="shared" si="42"/>
        <v>2.26560092799014E-3</v>
      </c>
      <c r="W82" s="2"/>
      <c r="X82" s="6">
        <f t="shared" si="43"/>
        <v>0</v>
      </c>
      <c r="Y82" s="2"/>
      <c r="Z82" s="7">
        <f t="shared" si="44"/>
        <v>0</v>
      </c>
    </row>
    <row r="83" spans="1:26" s="29" customFormat="1" outlineLevel="1" collapsed="1" x14ac:dyDescent="0.25">
      <c r="A83" s="27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37"/>
        <v>0</v>
      </c>
      <c r="G83" s="1"/>
      <c r="H83" s="1">
        <f>SUM(OSRRefH22_11x_0)</f>
        <v>0</v>
      </c>
      <c r="I83" s="1"/>
      <c r="J83" s="5">
        <f t="shared" si="38"/>
        <v>0</v>
      </c>
      <c r="K83" s="1"/>
      <c r="L83" s="1">
        <f t="shared" si="39"/>
        <v>0</v>
      </c>
      <c r="M83" s="1"/>
      <c r="N83" s="5">
        <f t="shared" si="40"/>
        <v>0</v>
      </c>
      <c r="O83" s="14"/>
      <c r="P83" s="1">
        <f>SUM(OSRRefP22_11x_0)</f>
        <v>0</v>
      </c>
      <c r="Q83" s="1"/>
      <c r="R83" s="5">
        <f t="shared" si="41"/>
        <v>0</v>
      </c>
      <c r="S83" s="1"/>
      <c r="T83" s="1">
        <f>SUM(OSRRefT22_11x_0)</f>
        <v>750</v>
      </c>
      <c r="U83" s="1"/>
      <c r="V83" s="5">
        <f t="shared" si="42"/>
        <v>3.39840139198521E-3</v>
      </c>
      <c r="W83" s="1"/>
      <c r="X83" s="1">
        <f t="shared" si="43"/>
        <v>-750</v>
      </c>
      <c r="Y83" s="1"/>
      <c r="Z83" s="5">
        <f t="shared" si="44"/>
        <v>-1</v>
      </c>
    </row>
    <row r="84" spans="1:26" s="24" customFormat="1" hidden="1" outlineLevel="2" x14ac:dyDescent="0.25">
      <c r="A84" s="28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37"/>
        <v>0</v>
      </c>
      <c r="G84" s="2"/>
      <c r="H84" s="6">
        <v>0</v>
      </c>
      <c r="I84" s="2"/>
      <c r="J84" s="7">
        <f t="shared" si="38"/>
        <v>0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/>
      <c r="Q84" s="2"/>
      <c r="R84" s="7">
        <f t="shared" si="41"/>
        <v>0</v>
      </c>
      <c r="S84" s="2"/>
      <c r="T84" s="6">
        <v>750</v>
      </c>
      <c r="U84" s="2"/>
      <c r="V84" s="7">
        <f t="shared" si="42"/>
        <v>3.39840139198521E-3</v>
      </c>
      <c r="W84" s="2"/>
      <c r="X84" s="6">
        <f t="shared" si="43"/>
        <v>-750</v>
      </c>
      <c r="Y84" s="2"/>
      <c r="Z84" s="7">
        <f t="shared" si="44"/>
        <v>-1</v>
      </c>
    </row>
    <row r="85" spans="1:26" s="29" customFormat="1" outlineLevel="1" collapsed="1" x14ac:dyDescent="0.25">
      <c r="A85" s="27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SUM(OSRRefD22_12x_0)</f>
        <v>6900</v>
      </c>
      <c r="E85" s="1"/>
      <c r="F85" s="5">
        <f t="shared" si="37"/>
        <v>0.39219564765143011</v>
      </c>
      <c r="G85" s="1"/>
      <c r="H85" s="1">
        <f>SUM(OSRRefH22_12x_0)</f>
        <v>6900</v>
      </c>
      <c r="I85" s="1"/>
      <c r="J85" s="5">
        <f t="shared" si="38"/>
        <v>0.19194925863076195</v>
      </c>
      <c r="K85" s="1"/>
      <c r="L85" s="1">
        <f t="shared" si="39"/>
        <v>0</v>
      </c>
      <c r="M85" s="1"/>
      <c r="N85" s="5">
        <f t="shared" si="40"/>
        <v>0</v>
      </c>
      <c r="O85" s="14"/>
      <c r="P85" s="1">
        <f>SUM(OSRRefP22_12x_0)</f>
        <v>34500</v>
      </c>
      <c r="Q85" s="1"/>
      <c r="R85" s="5">
        <f t="shared" si="41"/>
        <v>0.32542527896020867</v>
      </c>
      <c r="S85" s="1"/>
      <c r="T85" s="1">
        <f>SUM(OSRRefT22_12x_0)</f>
        <v>34501</v>
      </c>
      <c r="U85" s="1"/>
      <c r="V85" s="5">
        <f t="shared" si="42"/>
        <v>0.15633099523317565</v>
      </c>
      <c r="W85" s="1"/>
      <c r="X85" s="1">
        <f t="shared" si="43"/>
        <v>-1</v>
      </c>
      <c r="Y85" s="1"/>
      <c r="Z85" s="5">
        <f t="shared" si="44"/>
        <v>-2.8984667111098231E-5</v>
      </c>
    </row>
    <row r="86" spans="1:26" s="24" customFormat="1" hidden="1" outlineLevel="2" x14ac:dyDescent="0.25">
      <c r="A86" s="28"/>
      <c r="B86" s="11" t="str">
        <f>CONCATENATE("          ", "6273", " - ", "RENT")</f>
        <v xml:space="preserve">          6273 - RENT</v>
      </c>
      <c r="C86" s="11"/>
      <c r="D86" s="6">
        <v>6900</v>
      </c>
      <c r="E86" s="2"/>
      <c r="F86" s="7">
        <f t="shared" si="37"/>
        <v>0.39219564765143011</v>
      </c>
      <c r="G86" s="2"/>
      <c r="H86" s="6">
        <v>6900</v>
      </c>
      <c r="I86" s="2"/>
      <c r="J86" s="7">
        <f t="shared" si="38"/>
        <v>0.19194925863076195</v>
      </c>
      <c r="K86" s="2"/>
      <c r="L86" s="6">
        <f t="shared" si="39"/>
        <v>0</v>
      </c>
      <c r="M86" s="2"/>
      <c r="N86" s="7">
        <f t="shared" si="40"/>
        <v>0</v>
      </c>
      <c r="O86" s="11"/>
      <c r="P86" s="6">
        <v>34500</v>
      </c>
      <c r="Q86" s="2"/>
      <c r="R86" s="7">
        <f t="shared" si="41"/>
        <v>0.32542527896020867</v>
      </c>
      <c r="S86" s="2"/>
      <c r="T86" s="6">
        <v>34501</v>
      </c>
      <c r="U86" s="2"/>
      <c r="V86" s="7">
        <f t="shared" si="42"/>
        <v>0.15633099523317565</v>
      </c>
      <c r="W86" s="2"/>
      <c r="X86" s="6">
        <f t="shared" si="43"/>
        <v>-1</v>
      </c>
      <c r="Y86" s="2"/>
      <c r="Z86" s="7">
        <f t="shared" si="44"/>
        <v>-2.8984667111098231E-5</v>
      </c>
    </row>
    <row r="87" spans="1:26" s="29" customFormat="1" outlineLevel="1" collapsed="1" x14ac:dyDescent="0.25">
      <c r="A87" s="27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SUM(OSRRefD22_13x_0)</f>
        <v>0</v>
      </c>
      <c r="E87" s="1"/>
      <c r="F87" s="5">
        <f t="shared" si="37"/>
        <v>0</v>
      </c>
      <c r="G87" s="1"/>
      <c r="H87" s="1">
        <f>SUM(OSRRefH22_13x_0)</f>
        <v>100</v>
      </c>
      <c r="I87" s="1"/>
      <c r="J87" s="5">
        <f t="shared" si="38"/>
        <v>2.7818733134893038E-3</v>
      </c>
      <c r="K87" s="1"/>
      <c r="L87" s="1">
        <f t="shared" si="39"/>
        <v>-100</v>
      </c>
      <c r="M87" s="1"/>
      <c r="N87" s="5">
        <f t="shared" si="40"/>
        <v>-1</v>
      </c>
      <c r="O87" s="14"/>
      <c r="P87" s="1">
        <f>SUM(OSRRefP22_13x_0)</f>
        <v>48.21</v>
      </c>
      <c r="Q87" s="1"/>
      <c r="R87" s="5">
        <f t="shared" si="41"/>
        <v>4.5474645503396115E-4</v>
      </c>
      <c r="S87" s="1"/>
      <c r="T87" s="1">
        <f>SUM(OSRRefT22_13x_0)</f>
        <v>500</v>
      </c>
      <c r="U87" s="1"/>
      <c r="V87" s="5">
        <f t="shared" si="42"/>
        <v>2.26560092799014E-3</v>
      </c>
      <c r="W87" s="1"/>
      <c r="X87" s="1">
        <f t="shared" si="43"/>
        <v>-451.79</v>
      </c>
      <c r="Y87" s="1"/>
      <c r="Z87" s="5">
        <f t="shared" si="44"/>
        <v>-0.90358000000000005</v>
      </c>
    </row>
    <row r="88" spans="1:26" s="24" customFormat="1" hidden="1" outlineLevel="2" x14ac:dyDescent="0.25">
      <c r="A88" s="28"/>
      <c r="B88" s="11" t="str">
        <f>CONCATENATE("          ", "6373", " - ", "MAINTENANCE CONTRACTS")</f>
        <v xml:space="preserve">          6373 - MAINTENANCE CONTRACTS</v>
      </c>
      <c r="C88" s="11"/>
      <c r="D88" s="6"/>
      <c r="E88" s="2"/>
      <c r="F88" s="7">
        <f t="shared" si="37"/>
        <v>0</v>
      </c>
      <c r="G88" s="2"/>
      <c r="H88" s="6"/>
      <c r="I88" s="2"/>
      <c r="J88" s="7">
        <f t="shared" si="38"/>
        <v>0</v>
      </c>
      <c r="K88" s="2"/>
      <c r="L88" s="6">
        <f t="shared" si="39"/>
        <v>0</v>
      </c>
      <c r="M88" s="2"/>
      <c r="N88" s="7">
        <f t="shared" si="40"/>
        <v>0</v>
      </c>
      <c r="O88" s="11"/>
      <c r="P88" s="6">
        <v>48.21</v>
      </c>
      <c r="Q88" s="2"/>
      <c r="R88" s="7">
        <f t="shared" si="41"/>
        <v>4.5474645503396115E-4</v>
      </c>
      <c r="S88" s="2"/>
      <c r="T88" s="6"/>
      <c r="U88" s="2"/>
      <c r="V88" s="7">
        <f t="shared" si="42"/>
        <v>0</v>
      </c>
      <c r="W88" s="2"/>
      <c r="X88" s="6">
        <f t="shared" si="43"/>
        <v>48.21</v>
      </c>
      <c r="Y88" s="2"/>
      <c r="Z88" s="7">
        <f t="shared" si="44"/>
        <v>0</v>
      </c>
    </row>
    <row r="89" spans="1:26" s="24" customFormat="1" hidden="1" outlineLevel="2" x14ac:dyDescent="0.25">
      <c r="A89" s="28"/>
      <c r="B89" s="11" t="str">
        <f>CONCATENATE("          ", "6375", " - ", "OUTSIDE REPAIRS &amp; MAINTENANCE")</f>
        <v xml:space="preserve">          6375 - OUTSIDE REPAIRS &amp; MAINTENANCE</v>
      </c>
      <c r="C89" s="11"/>
      <c r="D89" s="6"/>
      <c r="E89" s="2"/>
      <c r="F89" s="7">
        <f t="shared" si="37"/>
        <v>0</v>
      </c>
      <c r="G89" s="2"/>
      <c r="H89" s="6">
        <v>100</v>
      </c>
      <c r="I89" s="2"/>
      <c r="J89" s="7">
        <f t="shared" si="38"/>
        <v>2.7818733134893038E-3</v>
      </c>
      <c r="K89" s="2"/>
      <c r="L89" s="6">
        <f t="shared" si="39"/>
        <v>-100</v>
      </c>
      <c r="M89" s="2"/>
      <c r="N89" s="7">
        <f t="shared" si="40"/>
        <v>-1</v>
      </c>
      <c r="O89" s="11"/>
      <c r="P89" s="6"/>
      <c r="Q89" s="2"/>
      <c r="R89" s="7">
        <f t="shared" si="41"/>
        <v>0</v>
      </c>
      <c r="S89" s="2"/>
      <c r="T89" s="6">
        <v>500</v>
      </c>
      <c r="U89" s="2"/>
      <c r="V89" s="7">
        <f t="shared" si="42"/>
        <v>2.26560092799014E-3</v>
      </c>
      <c r="W89" s="2"/>
      <c r="X89" s="6">
        <f t="shared" si="43"/>
        <v>-500</v>
      </c>
      <c r="Y89" s="2"/>
      <c r="Z89" s="7">
        <f t="shared" si="44"/>
        <v>-1</v>
      </c>
    </row>
    <row r="90" spans="1:26" s="29" customFormat="1" outlineLevel="1" collapsed="1" x14ac:dyDescent="0.25">
      <c r="A90" s="27"/>
      <c r="B90" s="14" t="str">
        <f>CONCATENATE("     ","Services                                          ")</f>
        <v xml:space="preserve">     Services                                          </v>
      </c>
      <c r="C90" s="14"/>
      <c r="D90" s="1">
        <f>SUM(OSRRefD22_14x_0)</f>
        <v>-19.419999999999995</v>
      </c>
      <c r="E90" s="1"/>
      <c r="F90" s="5">
        <f t="shared" ref="F90:F93" si="45">IF(D$12=0,0,D90/D$12)</f>
        <v>-1.103831808317503E-3</v>
      </c>
      <c r="G90" s="1"/>
      <c r="H90" s="1">
        <f>SUM(OSRRefH22_14x_0)</f>
        <v>155</v>
      </c>
      <c r="I90" s="1"/>
      <c r="J90" s="5">
        <f t="shared" ref="J90:J93" si="46">IF(H$12=0,0,H90/H$12)</f>
        <v>4.3119036359084211E-3</v>
      </c>
      <c r="K90" s="1"/>
      <c r="L90" s="1">
        <f t="shared" ref="L90:L93" si="47">+D90-H90</f>
        <v>-174.42</v>
      </c>
      <c r="M90" s="1"/>
      <c r="N90" s="5">
        <f t="shared" ref="N90:N93" si="48">IF(H90=0,0,L90/H90)</f>
        <v>-1.125290322580645</v>
      </c>
      <c r="O90" s="14"/>
      <c r="P90" s="1">
        <f>SUM(OSRRefP22_14x_0)</f>
        <v>-31.590000000000146</v>
      </c>
      <c r="Q90" s="1"/>
      <c r="R90" s="5">
        <f t="shared" ref="R90:R93" si="49">IF(P$12=0,0,P90/P$12)</f>
        <v>-2.9797636412617505E-4</v>
      </c>
      <c r="S90" s="1"/>
      <c r="T90" s="1">
        <f>SUM(OSRRefT22_14x_0)</f>
        <v>830</v>
      </c>
      <c r="U90" s="1"/>
      <c r="V90" s="5">
        <f t="shared" ref="V90:V93" si="50">IF(T$12=0,0,T90/T$12)</f>
        <v>3.7608975404636326E-3</v>
      </c>
      <c r="W90" s="1"/>
      <c r="X90" s="1">
        <f t="shared" ref="X90:X93" si="51">+P90-T90</f>
        <v>-861.59000000000015</v>
      </c>
      <c r="Y90" s="1"/>
      <c r="Z90" s="5">
        <f t="shared" ref="Z90:Z93" si="52">IF(T90=0,0,X90/T90)</f>
        <v>-1.0380602409638555</v>
      </c>
    </row>
    <row r="91" spans="1:26" s="24" customFormat="1" hidden="1" outlineLevel="2" x14ac:dyDescent="0.25">
      <c r="A91" s="28"/>
      <c r="B91" s="11" t="str">
        <f>CONCATENATE("          ", "6283", " - ", "PLANT SERVICE")</f>
        <v xml:space="preserve">          6283 - PLANT SERVICE</v>
      </c>
      <c r="C91" s="11"/>
      <c r="D91" s="6">
        <v>41.31</v>
      </c>
      <c r="E91" s="2"/>
      <c r="F91" s="7">
        <f t="shared" si="45"/>
        <v>2.3480582905044318E-3</v>
      </c>
      <c r="G91" s="2"/>
      <c r="H91" s="6">
        <v>0</v>
      </c>
      <c r="I91" s="2"/>
      <c r="J91" s="7">
        <f t="shared" si="46"/>
        <v>0</v>
      </c>
      <c r="K91" s="2"/>
      <c r="L91" s="6">
        <f t="shared" si="47"/>
        <v>41.31</v>
      </c>
      <c r="M91" s="2"/>
      <c r="N91" s="7">
        <f t="shared" si="48"/>
        <v>0</v>
      </c>
      <c r="O91" s="11"/>
      <c r="P91" s="6">
        <v>41.31</v>
      </c>
      <c r="Q91" s="2"/>
      <c r="R91" s="7">
        <f t="shared" si="49"/>
        <v>3.8966139924191944E-4</v>
      </c>
      <c r="S91" s="2"/>
      <c r="T91" s="6">
        <v>0</v>
      </c>
      <c r="U91" s="2"/>
      <c r="V91" s="7">
        <f t="shared" si="50"/>
        <v>0</v>
      </c>
      <c r="W91" s="2"/>
      <c r="X91" s="6">
        <f t="shared" si="51"/>
        <v>41.31</v>
      </c>
      <c r="Y91" s="2"/>
      <c r="Z91" s="7">
        <f t="shared" si="52"/>
        <v>0</v>
      </c>
    </row>
    <row r="92" spans="1:26" s="24" customFormat="1" hidden="1" outlineLevel="2" x14ac:dyDescent="0.25">
      <c r="A92" s="28"/>
      <c r="B92" s="11" t="str">
        <f>CONCATENATE("          ", "6284", " - ", "TRASH REMOVAL EXPENSE")</f>
        <v xml:space="preserve">          6284 - TRASH REMOVAL EXPENSE</v>
      </c>
      <c r="C92" s="11"/>
      <c r="D92" s="6"/>
      <c r="E92" s="2"/>
      <c r="F92" s="7">
        <f t="shared" si="45"/>
        <v>0</v>
      </c>
      <c r="G92" s="2"/>
      <c r="H92" s="6">
        <v>55</v>
      </c>
      <c r="I92" s="2"/>
      <c r="J92" s="7">
        <f t="shared" si="46"/>
        <v>1.5300303224191169E-3</v>
      </c>
      <c r="K92" s="2"/>
      <c r="L92" s="6">
        <f t="shared" si="47"/>
        <v>-55</v>
      </c>
      <c r="M92" s="2"/>
      <c r="N92" s="7">
        <f t="shared" si="48"/>
        <v>-1</v>
      </c>
      <c r="O92" s="11"/>
      <c r="P92" s="6">
        <v>585.29999999999995</v>
      </c>
      <c r="Q92" s="2"/>
      <c r="R92" s="7">
        <f t="shared" si="49"/>
        <v>5.5209106021858008E-3</v>
      </c>
      <c r="S92" s="2"/>
      <c r="T92" s="6">
        <v>330</v>
      </c>
      <c r="U92" s="2"/>
      <c r="V92" s="7">
        <f t="shared" si="50"/>
        <v>1.4952966124734924E-3</v>
      </c>
      <c r="W92" s="2"/>
      <c r="X92" s="6">
        <f t="shared" si="51"/>
        <v>255.29999999999995</v>
      </c>
      <c r="Y92" s="2"/>
      <c r="Z92" s="7">
        <f t="shared" si="52"/>
        <v>0.77363636363636346</v>
      </c>
    </row>
    <row r="93" spans="1:26" s="24" customFormat="1" hidden="1" outlineLevel="2" x14ac:dyDescent="0.25">
      <c r="A93" s="28"/>
      <c r="B93" s="11" t="str">
        <f>CONCATENATE("          ", "6285", " - ", "JANITORIAL SERVICES")</f>
        <v xml:space="preserve">          6285 - JANITORIAL SERVICES</v>
      </c>
      <c r="C93" s="11"/>
      <c r="D93" s="6">
        <v>-60.73</v>
      </c>
      <c r="E93" s="2"/>
      <c r="F93" s="7">
        <f t="shared" si="45"/>
        <v>-3.4518900988219346E-3</v>
      </c>
      <c r="G93" s="2"/>
      <c r="H93" s="6">
        <v>100</v>
      </c>
      <c r="I93" s="2"/>
      <c r="J93" s="7">
        <f t="shared" si="46"/>
        <v>2.7818733134893038E-3</v>
      </c>
      <c r="K93" s="2"/>
      <c r="L93" s="6">
        <f t="shared" si="47"/>
        <v>-160.72999999999999</v>
      </c>
      <c r="M93" s="2"/>
      <c r="N93" s="7">
        <f t="shared" si="48"/>
        <v>-1.6073</v>
      </c>
      <c r="O93" s="11"/>
      <c r="P93" s="6">
        <v>-658.2</v>
      </c>
      <c r="Q93" s="2"/>
      <c r="R93" s="7">
        <f t="shared" si="49"/>
        <v>-6.2085483655538948E-3</v>
      </c>
      <c r="S93" s="2"/>
      <c r="T93" s="6">
        <v>500</v>
      </c>
      <c r="U93" s="2"/>
      <c r="V93" s="7">
        <f t="shared" si="50"/>
        <v>2.26560092799014E-3</v>
      </c>
      <c r="W93" s="2"/>
      <c r="X93" s="6">
        <f t="shared" si="51"/>
        <v>-1158.2</v>
      </c>
      <c r="Y93" s="2"/>
      <c r="Z93" s="7">
        <f t="shared" si="52"/>
        <v>-2.3164000000000002</v>
      </c>
    </row>
    <row r="94" spans="1:26" s="29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SUM(OSRRefD22_15x_0)</f>
        <v>0</v>
      </c>
      <c r="E94" s="1"/>
      <c r="F94" s="5">
        <f t="shared" ref="F94:F96" si="53">IF(D$12=0,0,D94/D$12)</f>
        <v>0</v>
      </c>
      <c r="G94" s="1"/>
      <c r="H94" s="1">
        <f>SUM(OSRRefH22_15x_0)</f>
        <v>0</v>
      </c>
      <c r="I94" s="1"/>
      <c r="J94" s="5">
        <f t="shared" ref="J94:J96" si="54">IF(H$12=0,0,H94/H$12)</f>
        <v>0</v>
      </c>
      <c r="K94" s="1"/>
      <c r="L94" s="1">
        <f t="shared" ref="L94:L96" si="55">+D94-H94</f>
        <v>0</v>
      </c>
      <c r="M94" s="1"/>
      <c r="N94" s="5">
        <f t="shared" ref="N94:N96" si="56">IF(H94=0,0,L94/H94)</f>
        <v>0</v>
      </c>
      <c r="O94" s="14"/>
      <c r="P94" s="1">
        <f>SUM(OSRRefP22_15x_0)</f>
        <v>150</v>
      </c>
      <c r="Q94" s="1"/>
      <c r="R94" s="5">
        <f t="shared" ref="R94:R96" si="57">IF(P$12=0,0,P94/P$12)</f>
        <v>1.4148925172182986E-3</v>
      </c>
      <c r="S94" s="1"/>
      <c r="T94" s="1">
        <f>SUM(OSRRefT22_15x_0)</f>
        <v>395</v>
      </c>
      <c r="U94" s="1"/>
      <c r="V94" s="5">
        <f t="shared" ref="V94:V96" si="58">IF(T$12=0,0,T94/T$12)</f>
        <v>1.7898247331122107E-3</v>
      </c>
      <c r="W94" s="1"/>
      <c r="X94" s="1">
        <f t="shared" ref="X94:X96" si="59">+P94-T94</f>
        <v>-245</v>
      </c>
      <c r="Y94" s="1"/>
      <c r="Z94" s="5">
        <f t="shared" ref="Z94:Z96" si="60">IF(T94=0,0,X94/T94)</f>
        <v>-0.620253164556962</v>
      </c>
    </row>
    <row r="95" spans="1:26" s="24" customFormat="1" hidden="1" outlineLevel="2" x14ac:dyDescent="0.25">
      <c r="A95" s="28"/>
      <c r="B95" s="11" t="str">
        <f>CONCATENATE("          ", "6258", " - ", "MEMBERSHIP DUES")</f>
        <v xml:space="preserve">          6258 - MEMBERSHIP DUES</v>
      </c>
      <c r="C95" s="11"/>
      <c r="D95" s="6"/>
      <c r="E95" s="2"/>
      <c r="F95" s="7">
        <f t="shared" si="53"/>
        <v>0</v>
      </c>
      <c r="G95" s="2"/>
      <c r="H95" s="6">
        <v>0</v>
      </c>
      <c r="I95" s="2"/>
      <c r="J95" s="7">
        <f t="shared" si="54"/>
        <v>0</v>
      </c>
      <c r="K95" s="2"/>
      <c r="L95" s="6">
        <f t="shared" si="55"/>
        <v>0</v>
      </c>
      <c r="M95" s="2"/>
      <c r="N95" s="7">
        <f t="shared" si="56"/>
        <v>0</v>
      </c>
      <c r="O95" s="11"/>
      <c r="P95" s="6"/>
      <c r="Q95" s="2"/>
      <c r="R95" s="7">
        <f t="shared" si="57"/>
        <v>0</v>
      </c>
      <c r="S95" s="2"/>
      <c r="T95" s="6">
        <v>395</v>
      </c>
      <c r="U95" s="2"/>
      <c r="V95" s="7">
        <f t="shared" si="58"/>
        <v>1.7898247331122107E-3</v>
      </c>
      <c r="W95" s="2"/>
      <c r="X95" s="6">
        <f t="shared" si="59"/>
        <v>-395</v>
      </c>
      <c r="Y95" s="2"/>
      <c r="Z95" s="7">
        <f t="shared" si="60"/>
        <v>-1</v>
      </c>
    </row>
    <row r="96" spans="1:26" s="24" customFormat="1" hidden="1" outlineLevel="2" x14ac:dyDescent="0.25">
      <c r="A96" s="28"/>
      <c r="B96" s="11" t="str">
        <f>CONCATENATE("          ", "6275", " - ", "SUBSCRIPTIONS")</f>
        <v xml:space="preserve">          6275 - SUBSCRIPTIONS</v>
      </c>
      <c r="C96" s="11"/>
      <c r="D96" s="6"/>
      <c r="E96" s="2"/>
      <c r="F96" s="7">
        <f t="shared" si="53"/>
        <v>0</v>
      </c>
      <c r="G96" s="2"/>
      <c r="H96" s="6">
        <v>0</v>
      </c>
      <c r="I96" s="2"/>
      <c r="J96" s="7">
        <f t="shared" si="54"/>
        <v>0</v>
      </c>
      <c r="K96" s="2"/>
      <c r="L96" s="6">
        <f t="shared" si="55"/>
        <v>0</v>
      </c>
      <c r="M96" s="2"/>
      <c r="N96" s="7">
        <f t="shared" si="56"/>
        <v>0</v>
      </c>
      <c r="O96" s="11"/>
      <c r="P96" s="6">
        <v>150</v>
      </c>
      <c r="Q96" s="2"/>
      <c r="R96" s="7">
        <f t="shared" si="57"/>
        <v>1.4148925172182986E-3</v>
      </c>
      <c r="S96" s="2"/>
      <c r="T96" s="6">
        <v>0</v>
      </c>
      <c r="U96" s="2"/>
      <c r="V96" s="7">
        <f t="shared" si="58"/>
        <v>0</v>
      </c>
      <c r="W96" s="2"/>
      <c r="X96" s="6">
        <f t="shared" si="59"/>
        <v>150</v>
      </c>
      <c r="Y96" s="2"/>
      <c r="Z96" s="7">
        <f t="shared" si="60"/>
        <v>0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SUM(OSRRefD22_16x_0)</f>
        <v>79.86</v>
      </c>
      <c r="E97" s="1"/>
      <c r="F97" s="5">
        <f t="shared" ref="F97:F103" si="61">IF(D$12=0,0,D97/D$12)</f>
        <v>4.5392383219482911E-3</v>
      </c>
      <c r="G97" s="1"/>
      <c r="H97" s="1">
        <f>SUM(OSRRefH22_16x_0)</f>
        <v>160</v>
      </c>
      <c r="I97" s="1"/>
      <c r="J97" s="5">
        <f t="shared" ref="J97:J103" si="62">IF(H$12=0,0,H97/H$12)</f>
        <v>4.4509973015828862E-3</v>
      </c>
      <c r="K97" s="1"/>
      <c r="L97" s="1">
        <f t="shared" ref="L97:L103" si="63">+D97-H97</f>
        <v>-80.14</v>
      </c>
      <c r="M97" s="1"/>
      <c r="N97" s="5">
        <f t="shared" ref="N97:N103" si="64">IF(H97=0,0,L97/H97)</f>
        <v>-0.50087499999999996</v>
      </c>
      <c r="O97" s="14"/>
      <c r="P97" s="1">
        <f>SUM(OSRRefP22_16x_0)</f>
        <v>542.26</v>
      </c>
      <c r="Q97" s="1"/>
      <c r="R97" s="5">
        <f t="shared" ref="R97:R103" si="65">IF(P$12=0,0,P97/P$12)</f>
        <v>5.1149307759119633E-3</v>
      </c>
      <c r="S97" s="1"/>
      <c r="T97" s="1">
        <f>SUM(OSRRefT22_16x_0)</f>
        <v>900</v>
      </c>
      <c r="U97" s="1"/>
      <c r="V97" s="5">
        <f t="shared" ref="V97:V103" si="66">IF(T$12=0,0,T97/T$12)</f>
        <v>4.0780816703822522E-3</v>
      </c>
      <c r="W97" s="1"/>
      <c r="X97" s="1">
        <f t="shared" ref="X97:X103" si="67">+P97-T97</f>
        <v>-357.74</v>
      </c>
      <c r="Y97" s="1"/>
      <c r="Z97" s="5">
        <f t="shared" ref="Z97:Z103" si="68">IF(T97=0,0,X97/T97)</f>
        <v>-0.39748888888888889</v>
      </c>
    </row>
    <row r="98" spans="1:26" s="24" customFormat="1" hidden="1" outlineLevel="2" x14ac:dyDescent="0.25">
      <c r="A98" s="28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61"/>
        <v>0</v>
      </c>
      <c r="G98" s="2"/>
      <c r="H98" s="6">
        <v>0</v>
      </c>
      <c r="I98" s="2"/>
      <c r="J98" s="7">
        <f t="shared" si="62"/>
        <v>0</v>
      </c>
      <c r="K98" s="2"/>
      <c r="L98" s="6">
        <f t="shared" si="63"/>
        <v>0</v>
      </c>
      <c r="M98" s="2"/>
      <c r="N98" s="7">
        <f t="shared" si="64"/>
        <v>0</v>
      </c>
      <c r="O98" s="11"/>
      <c r="P98" s="6"/>
      <c r="Q98" s="2"/>
      <c r="R98" s="7">
        <f t="shared" si="65"/>
        <v>0</v>
      </c>
      <c r="S98" s="2"/>
      <c r="T98" s="6">
        <v>0</v>
      </c>
      <c r="U98" s="2"/>
      <c r="V98" s="7">
        <f t="shared" si="66"/>
        <v>0</v>
      </c>
      <c r="W98" s="2"/>
      <c r="X98" s="6">
        <f t="shared" si="67"/>
        <v>0</v>
      </c>
      <c r="Y98" s="2"/>
      <c r="Z98" s="7">
        <f t="shared" si="68"/>
        <v>0</v>
      </c>
    </row>
    <row r="99" spans="1:26" s="24" customFormat="1" hidden="1" outlineLevel="2" x14ac:dyDescent="0.25">
      <c r="A99" s="28"/>
      <c r="B99" s="11" t="str">
        <f>CONCATENATE("          ", "6235", " - ", "COVID-19 EXPENSES")</f>
        <v xml:space="preserve">          6235 - COVID-19 EXPENSES</v>
      </c>
      <c r="C99" s="11"/>
      <c r="D99" s="6"/>
      <c r="E99" s="2"/>
      <c r="F99" s="7">
        <f t="shared" si="61"/>
        <v>0</v>
      </c>
      <c r="G99" s="2"/>
      <c r="H99" s="6">
        <v>100</v>
      </c>
      <c r="I99" s="2"/>
      <c r="J99" s="7">
        <f t="shared" si="62"/>
        <v>2.7818733134893038E-3</v>
      </c>
      <c r="K99" s="2"/>
      <c r="L99" s="6">
        <f t="shared" si="63"/>
        <v>-100</v>
      </c>
      <c r="M99" s="2"/>
      <c r="N99" s="7">
        <f t="shared" si="64"/>
        <v>-1</v>
      </c>
      <c r="O99" s="11"/>
      <c r="P99" s="6">
        <v>265.7</v>
      </c>
      <c r="Q99" s="2"/>
      <c r="R99" s="7">
        <f t="shared" si="65"/>
        <v>2.5062462788326793E-3</v>
      </c>
      <c r="S99" s="2"/>
      <c r="T99" s="6">
        <v>500</v>
      </c>
      <c r="U99" s="2"/>
      <c r="V99" s="7">
        <f t="shared" si="66"/>
        <v>2.26560092799014E-3</v>
      </c>
      <c r="W99" s="2"/>
      <c r="X99" s="6">
        <f t="shared" si="67"/>
        <v>-234.3</v>
      </c>
      <c r="Y99" s="2"/>
      <c r="Z99" s="7">
        <f t="shared" si="68"/>
        <v>-0.46860000000000002</v>
      </c>
    </row>
    <row r="100" spans="1:26" s="24" customFormat="1" hidden="1" outlineLevel="2" x14ac:dyDescent="0.25">
      <c r="A100" s="28"/>
      <c r="B100" s="11" t="str">
        <f>CONCATENATE("          ", "6237", " - ", "JANITORIAL SUPPLIES")</f>
        <v xml:space="preserve">          6237 - JANITORIAL SUPPLIES</v>
      </c>
      <c r="C100" s="11"/>
      <c r="D100" s="6"/>
      <c r="E100" s="2"/>
      <c r="F100" s="7">
        <f t="shared" si="61"/>
        <v>0</v>
      </c>
      <c r="G100" s="2"/>
      <c r="H100" s="6">
        <v>10</v>
      </c>
      <c r="I100" s="2"/>
      <c r="J100" s="7">
        <f t="shared" si="62"/>
        <v>2.7818733134893039E-4</v>
      </c>
      <c r="K100" s="2"/>
      <c r="L100" s="6">
        <f t="shared" si="63"/>
        <v>-10</v>
      </c>
      <c r="M100" s="2"/>
      <c r="N100" s="7">
        <f t="shared" si="64"/>
        <v>-1</v>
      </c>
      <c r="O100" s="11"/>
      <c r="P100" s="6">
        <v>191.74</v>
      </c>
      <c r="Q100" s="2"/>
      <c r="R100" s="7">
        <f t="shared" si="65"/>
        <v>1.8086099416762438E-3</v>
      </c>
      <c r="S100" s="2"/>
      <c r="T100" s="6">
        <v>100</v>
      </c>
      <c r="U100" s="2"/>
      <c r="V100" s="7">
        <f t="shared" si="66"/>
        <v>4.5312018559802805E-4</v>
      </c>
      <c r="W100" s="2"/>
      <c r="X100" s="6">
        <f t="shared" si="67"/>
        <v>91.740000000000009</v>
      </c>
      <c r="Y100" s="2"/>
      <c r="Z100" s="7">
        <f t="shared" si="68"/>
        <v>0.9174000000000001</v>
      </c>
    </row>
    <row r="101" spans="1:26" s="24" customFormat="1" hidden="1" outlineLevel="2" x14ac:dyDescent="0.25">
      <c r="A101" s="28"/>
      <c r="B101" s="11" t="str">
        <f>CONCATENATE("          ", "6241", " - ", "OFFICE EXPENSE")</f>
        <v xml:space="preserve">          6241 - OFFICE EXPENSE</v>
      </c>
      <c r="C101" s="11"/>
      <c r="D101" s="6">
        <v>79.86</v>
      </c>
      <c r="E101" s="2"/>
      <c r="F101" s="7">
        <f t="shared" si="61"/>
        <v>4.5392383219482911E-3</v>
      </c>
      <c r="G101" s="2"/>
      <c r="H101" s="6">
        <v>25</v>
      </c>
      <c r="I101" s="2"/>
      <c r="J101" s="7">
        <f t="shared" si="62"/>
        <v>6.9546832837232594E-4</v>
      </c>
      <c r="K101" s="2"/>
      <c r="L101" s="6">
        <f t="shared" si="63"/>
        <v>54.86</v>
      </c>
      <c r="M101" s="2"/>
      <c r="N101" s="7">
        <f t="shared" si="64"/>
        <v>2.1943999999999999</v>
      </c>
      <c r="O101" s="11"/>
      <c r="P101" s="6">
        <v>84.82</v>
      </c>
      <c r="Q101" s="2"/>
      <c r="R101" s="7">
        <f t="shared" si="65"/>
        <v>8.0007455540304052E-4</v>
      </c>
      <c r="S101" s="2"/>
      <c r="T101" s="6">
        <v>125</v>
      </c>
      <c r="U101" s="2"/>
      <c r="V101" s="7">
        <f t="shared" si="66"/>
        <v>5.66400231997535E-4</v>
      </c>
      <c r="W101" s="2"/>
      <c r="X101" s="6">
        <f t="shared" si="67"/>
        <v>-40.180000000000007</v>
      </c>
      <c r="Y101" s="2"/>
      <c r="Z101" s="7">
        <f t="shared" si="68"/>
        <v>-0.32144000000000006</v>
      </c>
    </row>
    <row r="102" spans="1:26" s="24" customFormat="1" hidden="1" outlineLevel="2" x14ac:dyDescent="0.25">
      <c r="A102" s="28"/>
      <c r="B102" s="11" t="str">
        <f>CONCATENATE("          ", "6244", " - ", "SAFETY SUPPLY EXPENSE")</f>
        <v xml:space="preserve">          6244 - SAFETY SUPPLY EXPENSE</v>
      </c>
      <c r="C102" s="11"/>
      <c r="D102" s="6"/>
      <c r="E102" s="2"/>
      <c r="F102" s="7">
        <f t="shared" si="61"/>
        <v>0</v>
      </c>
      <c r="G102" s="2"/>
      <c r="H102" s="6">
        <v>0</v>
      </c>
      <c r="I102" s="2"/>
      <c r="J102" s="7">
        <f t="shared" si="62"/>
        <v>0</v>
      </c>
      <c r="K102" s="2"/>
      <c r="L102" s="6">
        <f t="shared" si="63"/>
        <v>0</v>
      </c>
      <c r="M102" s="2"/>
      <c r="N102" s="7">
        <f t="shared" si="64"/>
        <v>0</v>
      </c>
      <c r="O102" s="11"/>
      <c r="P102" s="6"/>
      <c r="Q102" s="2"/>
      <c r="R102" s="7">
        <f t="shared" si="65"/>
        <v>0</v>
      </c>
      <c r="S102" s="2"/>
      <c r="T102" s="6">
        <v>50</v>
      </c>
      <c r="U102" s="2"/>
      <c r="V102" s="7">
        <f t="shared" si="66"/>
        <v>2.2656009279901402E-4</v>
      </c>
      <c r="W102" s="2"/>
      <c r="X102" s="6">
        <f t="shared" si="67"/>
        <v>-50</v>
      </c>
      <c r="Y102" s="2"/>
      <c r="Z102" s="7">
        <f t="shared" si="68"/>
        <v>-1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61"/>
        <v>0</v>
      </c>
      <c r="G103" s="2"/>
      <c r="H103" s="6">
        <v>25</v>
      </c>
      <c r="I103" s="2"/>
      <c r="J103" s="7">
        <f t="shared" si="62"/>
        <v>6.9546832837232594E-4</v>
      </c>
      <c r="K103" s="2"/>
      <c r="L103" s="6">
        <f t="shared" si="63"/>
        <v>-25</v>
      </c>
      <c r="M103" s="2"/>
      <c r="N103" s="7">
        <f t="shared" si="64"/>
        <v>-1</v>
      </c>
      <c r="O103" s="11"/>
      <c r="P103" s="6"/>
      <c r="Q103" s="2"/>
      <c r="R103" s="7">
        <f t="shared" si="65"/>
        <v>0</v>
      </c>
      <c r="S103" s="2"/>
      <c r="T103" s="6">
        <v>125</v>
      </c>
      <c r="U103" s="2"/>
      <c r="V103" s="7">
        <f t="shared" si="66"/>
        <v>5.66400231997535E-4</v>
      </c>
      <c r="W103" s="2"/>
      <c r="X103" s="6">
        <f t="shared" si="67"/>
        <v>-125</v>
      </c>
      <c r="Y103" s="2"/>
      <c r="Z103" s="7">
        <f t="shared" si="68"/>
        <v>-1</v>
      </c>
    </row>
    <row r="104" spans="1:26" s="29" customFormat="1" outlineLevel="1" collapsed="1" x14ac:dyDescent="0.25">
      <c r="A104" s="27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SUM(OSRRefD22_17x_0)</f>
        <v>281.48</v>
      </c>
      <c r="E104" s="1"/>
      <c r="F104" s="5">
        <f t="shared" ref="F104:F106" si="69">IF(D$12=0,0,D104/D$12)</f>
        <v>1.599930882622095E-2</v>
      </c>
      <c r="G104" s="1"/>
      <c r="H104" s="1">
        <f>SUM(OSRRefH22_17x_0)</f>
        <v>230</v>
      </c>
      <c r="I104" s="1"/>
      <c r="J104" s="5">
        <f t="shared" ref="J104:J106" si="70">IF(H$12=0,0,H104/H$12)</f>
        <v>6.3983086210253988E-3</v>
      </c>
      <c r="K104" s="1"/>
      <c r="L104" s="1">
        <f t="shared" ref="L104:L106" si="71">+D104-H104</f>
        <v>51.480000000000018</v>
      </c>
      <c r="M104" s="1"/>
      <c r="N104" s="5">
        <f t="shared" ref="N104:N106" si="72">IF(H104=0,0,L104/H104)</f>
        <v>0.22382608695652181</v>
      </c>
      <c r="O104" s="14"/>
      <c r="P104" s="1">
        <f>SUM(OSRRefP22_17x_0)</f>
        <v>1634.24</v>
      </c>
      <c r="Q104" s="1"/>
      <c r="R104" s="5">
        <f t="shared" ref="R104:R106" si="73">IF(P$12=0,0,P104/P$12)</f>
        <v>1.5415159648925548E-2</v>
      </c>
      <c r="S104" s="1"/>
      <c r="T104" s="1">
        <f>SUM(OSRRefT22_17x_0)</f>
        <v>1150</v>
      </c>
      <c r="U104" s="1"/>
      <c r="V104" s="5">
        <f t="shared" ref="V104:V106" si="74">IF(T$12=0,0,T104/T$12)</f>
        <v>5.2108821343773227E-3</v>
      </c>
      <c r="W104" s="1"/>
      <c r="X104" s="1">
        <f t="shared" ref="X104:X106" si="75">+P104-T104</f>
        <v>484.24</v>
      </c>
      <c r="Y104" s="1"/>
      <c r="Z104" s="5">
        <f t="shared" ref="Z104:Z106" si="76">IF(T104=0,0,X104/T104)</f>
        <v>0.42107826086956524</v>
      </c>
    </row>
    <row r="105" spans="1:26" s="24" customFormat="1" hidden="1" outlineLevel="2" x14ac:dyDescent="0.25">
      <c r="A105" s="28"/>
      <c r="B105" s="11" t="str">
        <f>CONCATENATE("          ", "6303", " - ", "DATA PHONE LINES")</f>
        <v xml:space="preserve">          6303 - DATA PHONE LINES</v>
      </c>
      <c r="C105" s="11"/>
      <c r="D105" s="6"/>
      <c r="E105" s="2"/>
      <c r="F105" s="7">
        <f t="shared" si="69"/>
        <v>0</v>
      </c>
      <c r="G105" s="2"/>
      <c r="H105" s="6">
        <v>230</v>
      </c>
      <c r="I105" s="2"/>
      <c r="J105" s="7">
        <f t="shared" si="70"/>
        <v>6.3983086210253988E-3</v>
      </c>
      <c r="K105" s="2"/>
      <c r="L105" s="6">
        <f t="shared" si="71"/>
        <v>-230</v>
      </c>
      <c r="M105" s="2"/>
      <c r="N105" s="7">
        <f t="shared" si="72"/>
        <v>-1</v>
      </c>
      <c r="O105" s="11"/>
      <c r="P105" s="6"/>
      <c r="Q105" s="2"/>
      <c r="R105" s="7">
        <f t="shared" si="73"/>
        <v>0</v>
      </c>
      <c r="S105" s="2"/>
      <c r="T105" s="6">
        <v>1150</v>
      </c>
      <c r="U105" s="2"/>
      <c r="V105" s="7">
        <f t="shared" si="74"/>
        <v>5.2108821343773227E-3</v>
      </c>
      <c r="W105" s="2"/>
      <c r="X105" s="6">
        <f t="shared" si="75"/>
        <v>-1150</v>
      </c>
      <c r="Y105" s="2"/>
      <c r="Z105" s="7">
        <f t="shared" si="76"/>
        <v>-1</v>
      </c>
    </row>
    <row r="106" spans="1:26" s="24" customFormat="1" hidden="1" outlineLevel="2" x14ac:dyDescent="0.25">
      <c r="A106" s="28"/>
      <c r="B106" s="11" t="str">
        <f>CONCATENATE("          ", "6309", " - ", "TELEPHONE")</f>
        <v xml:space="preserve">          6309 - TELEPHONE</v>
      </c>
      <c r="C106" s="11"/>
      <c r="D106" s="6">
        <v>281.48</v>
      </c>
      <c r="E106" s="2"/>
      <c r="F106" s="7">
        <f t="shared" si="69"/>
        <v>1.599930882622095E-2</v>
      </c>
      <c r="G106" s="2"/>
      <c r="H106" s="6"/>
      <c r="I106" s="2"/>
      <c r="J106" s="7">
        <f t="shared" si="70"/>
        <v>0</v>
      </c>
      <c r="K106" s="2"/>
      <c r="L106" s="6">
        <f t="shared" si="71"/>
        <v>281.48</v>
      </c>
      <c r="M106" s="2"/>
      <c r="N106" s="7">
        <f t="shared" si="72"/>
        <v>0</v>
      </c>
      <c r="O106" s="11"/>
      <c r="P106" s="6">
        <v>1634.24</v>
      </c>
      <c r="Q106" s="2"/>
      <c r="R106" s="7">
        <f t="shared" si="73"/>
        <v>1.5415159648925548E-2</v>
      </c>
      <c r="S106" s="2"/>
      <c r="T106" s="6"/>
      <c r="U106" s="2"/>
      <c r="V106" s="7">
        <f t="shared" si="74"/>
        <v>0</v>
      </c>
      <c r="W106" s="2"/>
      <c r="X106" s="6">
        <f t="shared" si="75"/>
        <v>1634.24</v>
      </c>
      <c r="Y106" s="2"/>
      <c r="Z106" s="7">
        <f t="shared" si="76"/>
        <v>0</v>
      </c>
    </row>
    <row r="107" spans="1:26" s="29" customFormat="1" outlineLevel="1" collapsed="1" x14ac:dyDescent="0.25">
      <c r="A107" s="27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SUM(OSRRefD22_18x_0)</f>
        <v>0</v>
      </c>
      <c r="E107" s="1"/>
      <c r="F107" s="5">
        <f t="shared" ref="F107:F111" si="77">IF(D$12=0,0,D107/D$12)</f>
        <v>0</v>
      </c>
      <c r="G107" s="1"/>
      <c r="H107" s="1">
        <f>SUM(OSRRefH22_18x_0)</f>
        <v>0</v>
      </c>
      <c r="I107" s="1"/>
      <c r="J107" s="5">
        <f t="shared" ref="J107:J111" si="78">IF(H$12=0,0,H107/H$12)</f>
        <v>0</v>
      </c>
      <c r="K107" s="1"/>
      <c r="L107" s="1">
        <f t="shared" ref="L107:L111" si="79">+D107-H107</f>
        <v>0</v>
      </c>
      <c r="M107" s="1"/>
      <c r="N107" s="5">
        <f t="shared" ref="N107:N111" si="80">IF(H107=0,0,L107/H107)</f>
        <v>0</v>
      </c>
      <c r="O107" s="14"/>
      <c r="P107" s="1">
        <f>SUM(OSRRefP22_18x_0)</f>
        <v>0</v>
      </c>
      <c r="Q107" s="1"/>
      <c r="R107" s="5">
        <f t="shared" ref="R107:R111" si="81">IF(P$12=0,0,P107/P$12)</f>
        <v>0</v>
      </c>
      <c r="S107" s="1"/>
      <c r="T107" s="1">
        <f>SUM(OSRRefT22_18x_0)</f>
        <v>0</v>
      </c>
      <c r="U107" s="1"/>
      <c r="V107" s="5">
        <f t="shared" ref="V107:V111" si="82">IF(T$12=0,0,T107/T$12)</f>
        <v>0</v>
      </c>
      <c r="W107" s="1"/>
      <c r="X107" s="1">
        <f t="shared" ref="X107:X111" si="83">+P107-T107</f>
        <v>0</v>
      </c>
      <c r="Y107" s="1"/>
      <c r="Z107" s="5">
        <f t="shared" ref="Z107:Z111" si="84">IF(T107=0,0,X107/T107)</f>
        <v>0</v>
      </c>
    </row>
    <row r="108" spans="1:26" s="24" customFormat="1" hidden="1" outlineLevel="2" x14ac:dyDescent="0.25">
      <c r="A108" s="28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77"/>
        <v>0</v>
      </c>
      <c r="G108" s="2"/>
      <c r="H108" s="6">
        <v>0</v>
      </c>
      <c r="I108" s="2"/>
      <c r="J108" s="7">
        <f t="shared" si="78"/>
        <v>0</v>
      </c>
      <c r="K108" s="2"/>
      <c r="L108" s="6">
        <f t="shared" si="79"/>
        <v>0</v>
      </c>
      <c r="M108" s="2"/>
      <c r="N108" s="7">
        <f t="shared" si="80"/>
        <v>0</v>
      </c>
      <c r="O108" s="11"/>
      <c r="P108" s="6"/>
      <c r="Q108" s="2"/>
      <c r="R108" s="7">
        <f t="shared" si="81"/>
        <v>0</v>
      </c>
      <c r="S108" s="2"/>
      <c r="T108" s="6">
        <v>0</v>
      </c>
      <c r="U108" s="2"/>
      <c r="V108" s="7">
        <f t="shared" si="82"/>
        <v>0</v>
      </c>
      <c r="W108" s="2"/>
      <c r="X108" s="6">
        <f t="shared" si="83"/>
        <v>0</v>
      </c>
      <c r="Y108" s="2"/>
      <c r="Z108" s="7">
        <f t="shared" si="84"/>
        <v>0</v>
      </c>
    </row>
    <row r="109" spans="1:26" s="29" customFormat="1" outlineLevel="1" collapsed="1" x14ac:dyDescent="0.25">
      <c r="A109" s="27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SUM(OSRRefD22_19x_0)</f>
        <v>0</v>
      </c>
      <c r="E109" s="1"/>
      <c r="F109" s="5">
        <f t="shared" si="77"/>
        <v>0</v>
      </c>
      <c r="G109" s="1"/>
      <c r="H109" s="1">
        <f>SUM(OSRRefH22_19x_0)</f>
        <v>25</v>
      </c>
      <c r="I109" s="1"/>
      <c r="J109" s="5">
        <f t="shared" si="78"/>
        <v>6.9546832837232594E-4</v>
      </c>
      <c r="K109" s="1"/>
      <c r="L109" s="1">
        <f t="shared" si="79"/>
        <v>-25</v>
      </c>
      <c r="M109" s="1"/>
      <c r="N109" s="5">
        <f t="shared" si="80"/>
        <v>-1</v>
      </c>
      <c r="O109" s="14"/>
      <c r="P109" s="1">
        <f>SUM(OSRRefP22_19x_0)</f>
        <v>321.88</v>
      </c>
      <c r="Q109" s="1"/>
      <c r="R109" s="5">
        <f t="shared" si="81"/>
        <v>3.0361706896148396E-3</v>
      </c>
      <c r="S109" s="1"/>
      <c r="T109" s="1">
        <f>SUM(OSRRefT22_19x_0)</f>
        <v>125</v>
      </c>
      <c r="U109" s="1"/>
      <c r="V109" s="5">
        <f t="shared" si="82"/>
        <v>5.66400231997535E-4</v>
      </c>
      <c r="W109" s="1"/>
      <c r="X109" s="1">
        <f t="shared" si="83"/>
        <v>196.88</v>
      </c>
      <c r="Y109" s="1"/>
      <c r="Z109" s="5">
        <f t="shared" si="84"/>
        <v>1.57504</v>
      </c>
    </row>
    <row r="110" spans="1:26" s="24" customFormat="1" hidden="1" outlineLevel="2" x14ac:dyDescent="0.25">
      <c r="A110" s="28"/>
      <c r="B110" s="11" t="str">
        <f>CONCATENATE("          ", "6294", " - ", "TRAVEL OPERATIONAL")</f>
        <v xml:space="preserve">          6294 - TRAVEL OPERATIONAL</v>
      </c>
      <c r="C110" s="11"/>
      <c r="D110" s="6"/>
      <c r="E110" s="2"/>
      <c r="F110" s="7">
        <f t="shared" si="77"/>
        <v>0</v>
      </c>
      <c r="G110" s="2"/>
      <c r="H110" s="6"/>
      <c r="I110" s="2"/>
      <c r="J110" s="7">
        <f t="shared" si="78"/>
        <v>0</v>
      </c>
      <c r="K110" s="2"/>
      <c r="L110" s="6">
        <f t="shared" si="79"/>
        <v>0</v>
      </c>
      <c r="M110" s="2"/>
      <c r="N110" s="7">
        <f t="shared" si="80"/>
        <v>0</v>
      </c>
      <c r="O110" s="11"/>
      <c r="P110" s="6">
        <v>321.88</v>
      </c>
      <c r="Q110" s="2"/>
      <c r="R110" s="7">
        <f t="shared" si="81"/>
        <v>3.0361706896148396E-3</v>
      </c>
      <c r="S110" s="2"/>
      <c r="T110" s="6"/>
      <c r="U110" s="2"/>
      <c r="V110" s="7">
        <f t="shared" si="82"/>
        <v>0</v>
      </c>
      <c r="W110" s="2"/>
      <c r="X110" s="6">
        <f t="shared" si="83"/>
        <v>321.88</v>
      </c>
      <c r="Y110" s="2"/>
      <c r="Z110" s="7">
        <f t="shared" si="84"/>
        <v>0</v>
      </c>
    </row>
    <row r="111" spans="1:26" s="24" customFormat="1" hidden="1" outlineLevel="2" x14ac:dyDescent="0.25">
      <c r="A111" s="28"/>
      <c r="B111" s="11" t="str">
        <f>CONCATENATE("          ", "6298", " - ", "VEHICLE MILEAGE")</f>
        <v xml:space="preserve">          6298 - VEHICLE MILEAGE</v>
      </c>
      <c r="C111" s="11"/>
      <c r="D111" s="6"/>
      <c r="E111" s="2"/>
      <c r="F111" s="7">
        <f t="shared" si="77"/>
        <v>0</v>
      </c>
      <c r="G111" s="2"/>
      <c r="H111" s="6">
        <v>25</v>
      </c>
      <c r="I111" s="2"/>
      <c r="J111" s="7">
        <f t="shared" si="78"/>
        <v>6.9546832837232594E-4</v>
      </c>
      <c r="K111" s="2"/>
      <c r="L111" s="6">
        <f t="shared" si="79"/>
        <v>-25</v>
      </c>
      <c r="M111" s="2"/>
      <c r="N111" s="7">
        <f t="shared" si="80"/>
        <v>-1</v>
      </c>
      <c r="O111" s="11"/>
      <c r="P111" s="6"/>
      <c r="Q111" s="2"/>
      <c r="R111" s="7">
        <f t="shared" si="81"/>
        <v>0</v>
      </c>
      <c r="S111" s="2"/>
      <c r="T111" s="6">
        <v>125</v>
      </c>
      <c r="U111" s="2"/>
      <c r="V111" s="7">
        <f t="shared" si="82"/>
        <v>5.66400231997535E-4</v>
      </c>
      <c r="W111" s="2"/>
      <c r="X111" s="6">
        <f t="shared" si="83"/>
        <v>-125</v>
      </c>
      <c r="Y111" s="2"/>
      <c r="Z111" s="7">
        <f t="shared" si="84"/>
        <v>-1</v>
      </c>
    </row>
    <row r="112" spans="1:26" s="29" customFormat="1" outlineLevel="1" collapsed="1" x14ac:dyDescent="0.25">
      <c r="A112" s="27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SUM(OSRRefD22_20x_0)</f>
        <v>17.38</v>
      </c>
      <c r="E112" s="1"/>
      <c r="F112" s="5">
        <f t="shared" ref="F112:F113" si="85">IF(D$12=0,0,D112/D$12)</f>
        <v>9.8787831249012381E-4</v>
      </c>
      <c r="G112" s="1"/>
      <c r="H112" s="1">
        <f>SUM(OSRRefH22_20x_0)</f>
        <v>105</v>
      </c>
      <c r="I112" s="1"/>
      <c r="J112" s="5">
        <f t="shared" ref="J112:J113" si="86">IF(H$12=0,0,H112/H$12)</f>
        <v>2.9209669791637688E-3</v>
      </c>
      <c r="K112" s="1"/>
      <c r="L112" s="1">
        <f t="shared" ref="L112:L113" si="87">+D112-H112</f>
        <v>-87.62</v>
      </c>
      <c r="M112" s="1"/>
      <c r="N112" s="5">
        <f t="shared" ref="N112:N113" si="88">IF(H112=0,0,L112/H112)</f>
        <v>-0.83447619047619048</v>
      </c>
      <c r="O112" s="14"/>
      <c r="P112" s="1">
        <f>SUM(OSRRefP22_20x_0)</f>
        <v>101.79</v>
      </c>
      <c r="Q112" s="1"/>
      <c r="R112" s="5">
        <f t="shared" ref="R112:R113" si="89">IF(P$12=0,0,P112/P$12)</f>
        <v>9.6014606218433748E-4</v>
      </c>
      <c r="S112" s="1"/>
      <c r="T112" s="1">
        <f>SUM(OSRRefT22_20x_0)</f>
        <v>525</v>
      </c>
      <c r="U112" s="1"/>
      <c r="V112" s="5">
        <f t="shared" ref="V112:V113" si="90">IF(T$12=0,0,T112/T$12)</f>
        <v>2.378880974389647E-3</v>
      </c>
      <c r="W112" s="1"/>
      <c r="X112" s="1">
        <f t="shared" ref="X112:X113" si="91">+P112-T112</f>
        <v>-423.21</v>
      </c>
      <c r="Y112" s="1"/>
      <c r="Z112" s="5">
        <f t="shared" ref="Z112:Z113" si="92">IF(T112=0,0,X112/T112)</f>
        <v>-0.80611428571428567</v>
      </c>
    </row>
    <row r="113" spans="1:26" s="24" customFormat="1" hidden="1" outlineLevel="2" x14ac:dyDescent="0.25">
      <c r="A113" s="28"/>
      <c r="B113" s="11" t="str">
        <f>CONCATENATE("          ", "6274", " - ", "UTILITIES")</f>
        <v xml:space="preserve">          6274 - UTILITIES</v>
      </c>
      <c r="C113" s="11"/>
      <c r="D113" s="6">
        <v>17.38</v>
      </c>
      <c r="E113" s="2"/>
      <c r="F113" s="7">
        <f t="shared" si="85"/>
        <v>9.8787831249012381E-4</v>
      </c>
      <c r="G113" s="2"/>
      <c r="H113" s="6">
        <v>105</v>
      </c>
      <c r="I113" s="2"/>
      <c r="J113" s="7">
        <f t="shared" si="86"/>
        <v>2.9209669791637688E-3</v>
      </c>
      <c r="K113" s="2"/>
      <c r="L113" s="6">
        <f t="shared" si="87"/>
        <v>-87.62</v>
      </c>
      <c r="M113" s="2"/>
      <c r="N113" s="7">
        <f t="shared" si="88"/>
        <v>-0.83447619047619048</v>
      </c>
      <c r="O113" s="11"/>
      <c r="P113" s="6">
        <v>101.79</v>
      </c>
      <c r="Q113" s="2"/>
      <c r="R113" s="7">
        <f t="shared" si="89"/>
        <v>9.6014606218433748E-4</v>
      </c>
      <c r="S113" s="2"/>
      <c r="T113" s="6">
        <v>525</v>
      </c>
      <c r="U113" s="2"/>
      <c r="V113" s="7">
        <f t="shared" si="90"/>
        <v>2.378880974389647E-3</v>
      </c>
      <c r="W113" s="2"/>
      <c r="X113" s="6">
        <f t="shared" si="91"/>
        <v>-423.21</v>
      </c>
      <c r="Y113" s="2"/>
      <c r="Z113" s="7">
        <f t="shared" si="92"/>
        <v>-0.80611428571428567</v>
      </c>
    </row>
    <row r="114" spans="1:26" s="62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x14ac:dyDescent="0.25">
      <c r="A115" s="10"/>
      <c r="B115" s="26" t="s">
        <v>0</v>
      </c>
      <c r="C115" s="10"/>
      <c r="D115" s="4">
        <f>SUM(0)</f>
        <v>0</v>
      </c>
      <c r="E115" s="4"/>
      <c r="F115" s="12">
        <f>IF(D$12=0,0,D115/D$12)</f>
        <v>0</v>
      </c>
      <c r="G115" s="4"/>
      <c r="H115" s="4">
        <f>SUM(0)</f>
        <v>0</v>
      </c>
      <c r="I115" s="4"/>
      <c r="J115" s="12">
        <f>IF(H$12=0,0,H115/H$12)</f>
        <v>0</v>
      </c>
      <c r="K115" s="4"/>
      <c r="L115" s="4">
        <f>+D115-H115</f>
        <v>0</v>
      </c>
      <c r="M115" s="4"/>
      <c r="N115" s="12">
        <f>IF(H115=0,0,L115/H115)</f>
        <v>0</v>
      </c>
      <c r="O115" s="10"/>
      <c r="P115" s="4">
        <f>SUM(0)</f>
        <v>0</v>
      </c>
      <c r="Q115" s="4"/>
      <c r="R115" s="12">
        <f>IF(P$12=0,0,P115/P$12)</f>
        <v>0</v>
      </c>
      <c r="S115" s="4"/>
      <c r="T115" s="4">
        <f>SUM(0)</f>
        <v>0</v>
      </c>
      <c r="U115" s="4"/>
      <c r="V115" s="12">
        <f>IF(T$12=0,0,T115/T$12)</f>
        <v>0</v>
      </c>
      <c r="W115" s="4"/>
      <c r="X115" s="4">
        <f>+P115-T115</f>
        <v>0</v>
      </c>
      <c r="Y115" s="4"/>
      <c r="Z115" s="12">
        <f>IF(T115=0,0,X115/T115)</f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5" t="s">
        <v>3</v>
      </c>
      <c r="C117" s="25"/>
      <c r="D117" s="21">
        <f>+D40-D42+D115</f>
        <v>-11248.570000000003</v>
      </c>
      <c r="E117" s="13"/>
      <c r="F117" s="20">
        <f>IF(D$12=0,0,D117/D$12)</f>
        <v>-0.63936814439165923</v>
      </c>
      <c r="G117" s="13"/>
      <c r="H117" s="21">
        <f>+H40-H42+H115</f>
        <v>-3806.5952538461534</v>
      </c>
      <c r="I117" s="13"/>
      <c r="J117" s="20">
        <f>IF(H$12=0,0,H117/H$12)</f>
        <v>-0.10589465751929655</v>
      </c>
      <c r="K117" s="16"/>
      <c r="L117" s="21">
        <f>+D117-H117</f>
        <v>-7441.97474615385</v>
      </c>
      <c r="M117" s="16"/>
      <c r="N117" s="20">
        <f>IF(H117=0,0,L117/H117)</f>
        <v>1.9550212853952724</v>
      </c>
      <c r="O117" s="26"/>
      <c r="P117" s="21">
        <f>+P40-P42+P115</f>
        <v>-44024.670000000013</v>
      </c>
      <c r="Q117" s="13"/>
      <c r="R117" s="20">
        <f>IF(P$12=0,0,P117/P$12)</f>
        <v>-0.41526784104003284</v>
      </c>
      <c r="S117" s="13"/>
      <c r="T117" s="21">
        <f>+T40-T42+T115</f>
        <v>-1609.7310461538291</v>
      </c>
      <c r="U117" s="13"/>
      <c r="V117" s="20">
        <f>IF(T$12=0,0,T117/T$12)</f>
        <v>-7.2940163039613088E-3</v>
      </c>
      <c r="W117" s="16"/>
      <c r="X117" s="21">
        <f>+P117-T117</f>
        <v>-42414.938953846184</v>
      </c>
      <c r="Y117" s="16"/>
      <c r="Z117" s="20">
        <f>IF(T117=0,0,X117/T117)</f>
        <v>26.349084249315602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2"/>
      <c r="B119" s="10" t="s">
        <v>14</v>
      </c>
      <c r="C119" s="10"/>
      <c r="D119" s="4">
        <v>-2308.27</v>
      </c>
      <c r="E119" s="4"/>
      <c r="F119" s="12">
        <f>IF(D$12=0,0,D119/D$12)</f>
        <v>-0.13120194892816905</v>
      </c>
      <c r="G119" s="4"/>
      <c r="H119" s="4">
        <v>9114</v>
      </c>
      <c r="I119" s="4"/>
      <c r="J119" s="12">
        <f>IF(H$12=0,0,H119/H$12)</f>
        <v>0.25353993379141515</v>
      </c>
      <c r="K119" s="4"/>
      <c r="L119" s="4">
        <f>+D119-H119</f>
        <v>-11422.27</v>
      </c>
      <c r="M119" s="4"/>
      <c r="N119" s="12">
        <f>IF(H119=0,0,L119/H119)</f>
        <v>-1.2532664033355279</v>
      </c>
      <c r="O119" s="10"/>
      <c r="P119" s="4">
        <v>16845.809999999998</v>
      </c>
      <c r="Q119" s="4"/>
      <c r="R119" s="12">
        <f>IF(P$12=0,0,P119/P$12)</f>
        <v>0.15890007010320789</v>
      </c>
      <c r="S119" s="4"/>
      <c r="T119" s="4">
        <v>39361</v>
      </c>
      <c r="U119" s="4"/>
      <c r="V119" s="12">
        <f>IF(T$12=0,0,T119/T$12)</f>
        <v>0.1783526362532398</v>
      </c>
      <c r="W119" s="4"/>
      <c r="X119" s="4">
        <f>+P119-T119</f>
        <v>-22515.190000000002</v>
      </c>
      <c r="Y119" s="4"/>
      <c r="Z119" s="12">
        <f>IF(T119=0,0,X119/T119)</f>
        <v>-0.57201773328929661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4</v>
      </c>
      <c r="C121" s="25"/>
      <c r="D121" s="31">
        <f>+D117-D119</f>
        <v>-8940.3000000000029</v>
      </c>
      <c r="E121" s="13"/>
      <c r="F121" s="34">
        <f>IF(D$12=0,0,D121/D$12)</f>
        <v>-0.50816619546349007</v>
      </c>
      <c r="G121" s="13"/>
      <c r="H121" s="31">
        <f>+H117-H119</f>
        <v>-12920.595253846153</v>
      </c>
      <c r="I121" s="13"/>
      <c r="J121" s="34">
        <f>IF(H$12=0,0,H121/H$12)</f>
        <v>-0.3594345913107117</v>
      </c>
      <c r="K121" s="16"/>
      <c r="L121" s="31">
        <f>D121-H121</f>
        <v>3980.2952538461504</v>
      </c>
      <c r="M121" s="16"/>
      <c r="N121" s="34">
        <f>IF(H121=0,0,L121/H121)</f>
        <v>-0.30805819512543831</v>
      </c>
      <c r="O121" s="26"/>
      <c r="P121" s="31">
        <f>+P117-P119</f>
        <v>-60870.48000000001</v>
      </c>
      <c r="Q121" s="13"/>
      <c r="R121" s="34">
        <f>IF(P$12=0,0,P121/P$12)</f>
        <v>-0.57416791114324073</v>
      </c>
      <c r="S121" s="13"/>
      <c r="T121" s="31">
        <f>+T117-T119</f>
        <v>-40970.731046153829</v>
      </c>
      <c r="U121" s="13"/>
      <c r="V121" s="34">
        <f>IF(T$12=0,0,T121/T$12)</f>
        <v>-0.18564665255720111</v>
      </c>
      <c r="W121" s="16"/>
      <c r="X121" s="31">
        <f>P121-T121</f>
        <v>-19899.748953846181</v>
      </c>
      <c r="Y121" s="16"/>
      <c r="Z121" s="34">
        <f>IF(T121=0,0,X121/T121)</f>
        <v>0.48570646521852318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5</v>
      </c>
      <c r="C124" s="25"/>
      <c r="D124" s="33">
        <f>SUM(D121:D123)</f>
        <v>-8940.3000000000029</v>
      </c>
      <c r="E124" s="13"/>
      <c r="F124" s="30">
        <f>IF(D$12=0,0,D124/D$12)</f>
        <v>-0.50816619546349007</v>
      </c>
      <c r="G124" s="13"/>
      <c r="H124" s="33">
        <f>SUM(H121:H123)</f>
        <v>-12920.595253846153</v>
      </c>
      <c r="I124" s="13"/>
      <c r="J124" s="30">
        <f>IF(H$12=0,0,H124/H$12)</f>
        <v>-0.3594345913107117</v>
      </c>
      <c r="K124" s="16"/>
      <c r="L124" s="33">
        <f>+D124-H124</f>
        <v>3980.2952538461504</v>
      </c>
      <c r="M124" s="16"/>
      <c r="N124" s="30">
        <f>IF(H124=0,0,L124/H124)</f>
        <v>-0.30805819512543831</v>
      </c>
      <c r="O124" s="26"/>
      <c r="P124" s="33">
        <f>SUM(P121:P123)</f>
        <v>-60870.48000000001</v>
      </c>
      <c r="Q124" s="13"/>
      <c r="R124" s="30">
        <f>IF(P$12=0,0,P124/P$12)</f>
        <v>-0.57416791114324073</v>
      </c>
      <c r="S124" s="13"/>
      <c r="T124" s="33">
        <f>SUM(T121:T123)</f>
        <v>-40970.731046153829</v>
      </c>
      <c r="U124" s="13"/>
      <c r="V124" s="30">
        <f>IF(T$12=0,0,T124/T$12)</f>
        <v>-0.18564665255720111</v>
      </c>
      <c r="W124" s="16"/>
      <c r="X124" s="33">
        <f>+P124-T124</f>
        <v>-19899.748953846181</v>
      </c>
      <c r="Y124" s="16"/>
      <c r="Z124" s="30">
        <f>IF(T124=0,0,X124/T124)</f>
        <v>0.48570646521852318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A126" s="9"/>
      <c r="B126" s="55">
        <v>44174.679792905095</v>
      </c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7" t="s">
        <v>314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3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1">
        <f>+D22-D24</f>
        <v>0</v>
      </c>
      <c r="E26" s="13"/>
      <c r="F26" s="34">
        <f>IF(D$12=0,0,D26/D$12)</f>
        <v>0</v>
      </c>
      <c r="G26" s="13"/>
      <c r="H26" s="31">
        <f>+H22-H24</f>
        <v>0</v>
      </c>
      <c r="I26" s="13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6"/>
      <c r="P26" s="31">
        <f>+P22-P24</f>
        <v>0</v>
      </c>
      <c r="Q26" s="13"/>
      <c r="R26" s="34">
        <f>IF(P$12=0,0,P26/P$12)</f>
        <v>0</v>
      </c>
      <c r="S26" s="13"/>
      <c r="T26" s="31">
        <f>+T22-T24</f>
        <v>0</v>
      </c>
      <c r="U26" s="13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--1068713.4</f>
        <v>1068713.3999999999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1053713.3999999999</v>
      </c>
      <c r="M28" s="4"/>
      <c r="N28" s="12">
        <f t="shared" ref="N28:N29" si="4">IF(H28=0,0,L28/H28)</f>
        <v>70.247559999999993</v>
      </c>
      <c r="O28" s="10"/>
      <c r="P28" s="4">
        <f>--1649406.18</f>
        <v>1649406.18</v>
      </c>
      <c r="Q28" s="4"/>
      <c r="R28" s="12">
        <f t="shared" ref="R28:R29" si="5">IF(P$12=0,0,P28/P$12)</f>
        <v>0</v>
      </c>
      <c r="S28" s="4"/>
      <c r="T28" s="4">
        <f t="shared" ref="T28:T29" si="6">--75000</f>
        <v>75000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1574406.18</v>
      </c>
      <c r="Y28" s="4"/>
      <c r="Z28" s="12">
        <f t="shared" ref="Z28:Z29" si="9">IF(T28=0,0,X28/T28)</f>
        <v>20.992082399999997</v>
      </c>
    </row>
    <row r="29" spans="1:26" s="23" customFormat="1" x14ac:dyDescent="0.25">
      <c r="A29" s="52"/>
      <c r="B29" s="10" t="s">
        <v>1</v>
      </c>
      <c r="C29" s="10"/>
      <c r="D29" s="4">
        <f>--16697.28</f>
        <v>16697.28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1697.2799999999988</v>
      </c>
      <c r="M29" s="4"/>
      <c r="N29" s="12">
        <f t="shared" si="4"/>
        <v>0.11315199999999992</v>
      </c>
      <c r="O29" s="10"/>
      <c r="P29" s="4">
        <f>-6422.54</f>
        <v>-6422.54</v>
      </c>
      <c r="Q29" s="4"/>
      <c r="R29" s="12">
        <f t="shared" si="5"/>
        <v>0</v>
      </c>
      <c r="S29" s="4"/>
      <c r="T29" s="4">
        <f t="shared" si="6"/>
        <v>75000</v>
      </c>
      <c r="U29" s="4"/>
      <c r="V29" s="12">
        <f t="shared" si="7"/>
        <v>0</v>
      </c>
      <c r="W29" s="4"/>
      <c r="X29" s="4">
        <f t="shared" si="8"/>
        <v>-81422.539999999994</v>
      </c>
      <c r="Y29" s="4"/>
      <c r="Z29" s="12">
        <f t="shared" si="9"/>
        <v>-1.0856338666666665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SUM(D26:D30)</f>
        <v>1085410.68</v>
      </c>
      <c r="E31" s="13"/>
      <c r="F31" s="30">
        <f>IF(D$12=0,0,D31/D$12)</f>
        <v>0</v>
      </c>
      <c r="G31" s="13"/>
      <c r="H31" s="33">
        <f>SUM(H26:H30)</f>
        <v>30000</v>
      </c>
      <c r="I31" s="13"/>
      <c r="J31" s="30">
        <f>IF(H$12=0,0,H31/H$12)</f>
        <v>0</v>
      </c>
      <c r="K31" s="16"/>
      <c r="L31" s="33">
        <f>+D31-H31</f>
        <v>1055410.68</v>
      </c>
      <c r="M31" s="16"/>
      <c r="N31" s="30">
        <f>IF(H31=0,0,L31/H31)</f>
        <v>35.180355999999996</v>
      </c>
      <c r="O31" s="26"/>
      <c r="P31" s="33">
        <f>SUM(P26:P30)</f>
        <v>1642983.64</v>
      </c>
      <c r="Q31" s="13"/>
      <c r="R31" s="30">
        <f>IF(P$12=0,0,P31/P$12)</f>
        <v>0</v>
      </c>
      <c r="S31" s="13"/>
      <c r="T31" s="33">
        <f>SUM(T26:T30)</f>
        <v>150000</v>
      </c>
      <c r="U31" s="13"/>
      <c r="V31" s="30">
        <f>IF(T$12=0,0,T31/T$12)</f>
        <v>0</v>
      </c>
      <c r="W31" s="16"/>
      <c r="X31" s="33">
        <f>+P31-T31</f>
        <v>1492983.64</v>
      </c>
      <c r="Y31" s="16"/>
      <c r="Z31" s="30">
        <f>IF(T31=0,0,X31/T31)</f>
        <v>9.9532242666666662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5">
        <v>44174.678971412039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1597.9</v>
      </c>
      <c r="E12" s="4"/>
      <c r="F12" s="12"/>
      <c r="G12" s="4"/>
      <c r="H12" s="4">
        <f>SUM(OSRRefH13x_0)</f>
        <v>11200</v>
      </c>
      <c r="I12" s="4"/>
      <c r="J12" s="12"/>
      <c r="K12" s="4"/>
      <c r="L12" s="4">
        <f t="shared" ref="L12:L22" si="0">+D12-H12</f>
        <v>-9602.1</v>
      </c>
      <c r="M12" s="4"/>
      <c r="N12" s="12">
        <f t="shared" ref="N12:N22" si="1">IF(H12=0,0,L12/H12)</f>
        <v>-0.85733035714285721</v>
      </c>
      <c r="O12" s="10"/>
      <c r="P12" s="4">
        <f>SUM(OSRRefP13x_0)</f>
        <v>73572.91</v>
      </c>
      <c r="Q12" s="4"/>
      <c r="R12" s="12"/>
      <c r="S12" s="4"/>
      <c r="T12" s="4">
        <f>SUM(OSRRefT13x_0)</f>
        <v>118413</v>
      </c>
      <c r="U12" s="4"/>
      <c r="V12" s="12"/>
      <c r="W12" s="4"/>
      <c r="X12" s="4">
        <f t="shared" ref="X12:X22" si="2">+P12-T12</f>
        <v>-44840.09</v>
      </c>
      <c r="Y12" s="4"/>
      <c r="Z12" s="12">
        <f t="shared" ref="Z12:Z22" si="3">IF(T12=0,0,X12/T12)</f>
        <v>-0.37867539881600837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8200</v>
      </c>
      <c r="I13" s="2"/>
      <c r="J13" s="22"/>
      <c r="K13" s="2"/>
      <c r="L13" s="2">
        <f t="shared" si="0"/>
        <v>-8200</v>
      </c>
      <c r="M13" s="2"/>
      <c r="N13" s="22">
        <f t="shared" si="1"/>
        <v>-1</v>
      </c>
      <c r="O13" s="11"/>
      <c r="P13" s="2">
        <f>-8.65</f>
        <v>-8.65</v>
      </c>
      <c r="Q13" s="2"/>
      <c r="R13" s="22"/>
      <c r="S13" s="2"/>
      <c r="T13" s="2">
        <v>106913</v>
      </c>
      <c r="U13" s="2"/>
      <c r="V13" s="22"/>
      <c r="W13" s="2"/>
      <c r="X13" s="2">
        <f t="shared" si="2"/>
        <v>-106921.65</v>
      </c>
      <c r="Y13" s="2"/>
      <c r="Z13" s="22">
        <f t="shared" si="3"/>
        <v>-1.0000809069056147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--323.05</f>
        <v>323.05</v>
      </c>
      <c r="E14" s="2"/>
      <c r="F14" s="22"/>
      <c r="G14" s="2"/>
      <c r="H14" s="2"/>
      <c r="I14" s="2"/>
      <c r="J14" s="22"/>
      <c r="K14" s="2"/>
      <c r="L14" s="2">
        <f t="shared" si="0"/>
        <v>323.05</v>
      </c>
      <c r="M14" s="2"/>
      <c r="N14" s="22">
        <f t="shared" si="1"/>
        <v>0</v>
      </c>
      <c r="O14" s="11"/>
      <c r="P14" s="2">
        <f>--60692.37</f>
        <v>60692.37</v>
      </c>
      <c r="Q14" s="2"/>
      <c r="R14" s="22"/>
      <c r="S14" s="2"/>
      <c r="T14" s="2"/>
      <c r="U14" s="2"/>
      <c r="V14" s="22"/>
      <c r="W14" s="2"/>
      <c r="X14" s="2">
        <f t="shared" si="2"/>
        <v>60692.37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--402.24</f>
        <v>402.24</v>
      </c>
      <c r="E15" s="2"/>
      <c r="F15" s="22"/>
      <c r="G15" s="2"/>
      <c r="H15" s="2"/>
      <c r="I15" s="2"/>
      <c r="J15" s="22"/>
      <c r="K15" s="2"/>
      <c r="L15" s="2">
        <f t="shared" si="0"/>
        <v>402.24</v>
      </c>
      <c r="M15" s="2"/>
      <c r="N15" s="22">
        <f t="shared" si="1"/>
        <v>0</v>
      </c>
      <c r="O15" s="11"/>
      <c r="P15" s="2">
        <f>--11889.82</f>
        <v>11889.82</v>
      </c>
      <c r="Q15" s="2"/>
      <c r="R15" s="22"/>
      <c r="S15" s="2"/>
      <c r="T15" s="2"/>
      <c r="U15" s="2"/>
      <c r="V15" s="22"/>
      <c r="W15" s="2"/>
      <c r="X15" s="2">
        <f t="shared" si="2"/>
        <v>11889.82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8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11500</v>
      </c>
      <c r="U17" s="2"/>
      <c r="V17" s="22"/>
      <c r="W17" s="2"/>
      <c r="X17" s="2">
        <f t="shared" si="2"/>
        <v>-11500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--511.5</f>
        <v>511.5</v>
      </c>
      <c r="Q18" s="2"/>
      <c r="R18" s="22"/>
      <c r="S18" s="2"/>
      <c r="T18" s="2"/>
      <c r="U18" s="2"/>
      <c r="V18" s="22"/>
      <c r="W18" s="2"/>
      <c r="X18" s="2">
        <f t="shared" si="2"/>
        <v>511.5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--859.61</f>
        <v>859.61</v>
      </c>
      <c r="E19" s="2"/>
      <c r="F19" s="22"/>
      <c r="G19" s="2"/>
      <c r="H19" s="2"/>
      <c r="I19" s="2"/>
      <c r="J19" s="22"/>
      <c r="K19" s="2"/>
      <c r="L19" s="2">
        <f t="shared" si="0"/>
        <v>859.61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--21.5</f>
        <v>21.5</v>
      </c>
      <c r="E20" s="2"/>
      <c r="F20" s="22"/>
      <c r="G20" s="2"/>
      <c r="H20" s="2"/>
      <c r="I20" s="2"/>
      <c r="J20" s="22"/>
      <c r="K20" s="2"/>
      <c r="L20" s="2">
        <f t="shared" si="0"/>
        <v>21.5</v>
      </c>
      <c r="M20" s="2"/>
      <c r="N20" s="22">
        <f t="shared" si="1"/>
        <v>0</v>
      </c>
      <c r="O20" s="11"/>
      <c r="P20" s="2">
        <f>--108</f>
        <v>108</v>
      </c>
      <c r="Q20" s="2"/>
      <c r="R20" s="22"/>
      <c r="S20" s="2"/>
      <c r="T20" s="2"/>
      <c r="U20" s="2"/>
      <c r="V20" s="22"/>
      <c r="W20" s="2"/>
      <c r="X20" s="2">
        <f t="shared" si="2"/>
        <v>108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--5</f>
        <v>5</v>
      </c>
      <c r="E21" s="2"/>
      <c r="F21" s="22"/>
      <c r="G21" s="2"/>
      <c r="H21" s="2"/>
      <c r="I21" s="2"/>
      <c r="J21" s="22"/>
      <c r="K21" s="2"/>
      <c r="L21" s="2">
        <f t="shared" si="0"/>
        <v>5</v>
      </c>
      <c r="M21" s="2"/>
      <c r="N21" s="22">
        <f t="shared" si="1"/>
        <v>0</v>
      </c>
      <c r="O21" s="11"/>
      <c r="P21" s="2">
        <f>--91.5</f>
        <v>91.5</v>
      </c>
      <c r="Q21" s="2"/>
      <c r="R21" s="22"/>
      <c r="S21" s="2"/>
      <c r="T21" s="2"/>
      <c r="U21" s="2"/>
      <c r="V21" s="22"/>
      <c r="W21" s="2"/>
      <c r="X21" s="2">
        <f t="shared" si="2"/>
        <v>91.5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-13.5</f>
        <v>-13.5</v>
      </c>
      <c r="E22" s="2"/>
      <c r="F22" s="22"/>
      <c r="G22" s="2"/>
      <c r="H22" s="2"/>
      <c r="I22" s="2"/>
      <c r="J22" s="22"/>
      <c r="K22" s="2"/>
      <c r="L22" s="2">
        <f t="shared" si="0"/>
        <v>-13.5</v>
      </c>
      <c r="M22" s="2"/>
      <c r="N22" s="22">
        <f t="shared" si="1"/>
        <v>0</v>
      </c>
      <c r="O22" s="11"/>
      <c r="P22" s="2">
        <f>-830.2</f>
        <v>-830.2</v>
      </c>
      <c r="Q22" s="2"/>
      <c r="R22" s="22"/>
      <c r="S22" s="2"/>
      <c r="T22" s="2"/>
      <c r="U22" s="2"/>
      <c r="V22" s="22"/>
      <c r="W22" s="2"/>
      <c r="X22" s="2">
        <f t="shared" si="2"/>
        <v>-830.2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D12-D24</f>
        <v>1597.9</v>
      </c>
      <c r="E26" s="13"/>
      <c r="F26" s="20">
        <f>IF(D$12=0,0,D26/D$12)</f>
        <v>1</v>
      </c>
      <c r="G26" s="13"/>
      <c r="H26" s="21">
        <f>H12-H24</f>
        <v>11200</v>
      </c>
      <c r="I26" s="13"/>
      <c r="J26" s="20">
        <f>IF(H$12=0,0,H26/H$12)</f>
        <v>1</v>
      </c>
      <c r="K26" s="16"/>
      <c r="L26" s="21">
        <f>+D26-H26</f>
        <v>-9602.1</v>
      </c>
      <c r="M26" s="16"/>
      <c r="N26" s="20">
        <f>IF(H26=0,0,L26/H26)</f>
        <v>-0.85733035714285721</v>
      </c>
      <c r="O26" s="26"/>
      <c r="P26" s="21">
        <f>P12-P24</f>
        <v>73572.91</v>
      </c>
      <c r="Q26" s="13"/>
      <c r="R26" s="20">
        <f>IF(P$12=0,0,P26/P$12)</f>
        <v>1</v>
      </c>
      <c r="S26" s="13"/>
      <c r="T26" s="21">
        <f>T12-T24</f>
        <v>118413</v>
      </c>
      <c r="U26" s="13"/>
      <c r="V26" s="20">
        <f>IF(T$12=0,0,T26/T$12)</f>
        <v>1</v>
      </c>
      <c r="W26" s="16"/>
      <c r="X26" s="21">
        <f>+P26-T26</f>
        <v>-44840.09</v>
      </c>
      <c r="Y26" s="16"/>
      <c r="Z26" s="20">
        <f>IF(T26=0,0,X26/T26)</f>
        <v>-0.37867539881600837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19">
        <f>SUM(OSRRefD22x_0)</f>
        <v>39180.050000000003</v>
      </c>
      <c r="E28" s="19"/>
      <c r="F28" s="35">
        <f t="shared" ref="F28:F38" si="5">IF(D$12=0,0,D28/D$12)</f>
        <v>24.519713373803118</v>
      </c>
      <c r="G28" s="19"/>
      <c r="H28" s="19">
        <f>SUM(OSRRefH22x_0)</f>
        <v>26351.968616992344</v>
      </c>
      <c r="I28" s="19"/>
      <c r="J28" s="35">
        <f t="shared" ref="J28:J38" si="6">IF(H$12=0,0,H28/H$12)</f>
        <v>2.3528543408028879</v>
      </c>
      <c r="K28" s="4"/>
      <c r="L28" s="19">
        <f t="shared" ref="L28:L38" si="7">+D28-H28</f>
        <v>12828.081383007659</v>
      </c>
      <c r="M28" s="4"/>
      <c r="N28" s="35">
        <f t="shared" ref="N28:N38" si="8">IF(H28=0,0,L28/H28)</f>
        <v>0.48679783926032083</v>
      </c>
      <c r="O28" s="10"/>
      <c r="P28" s="19">
        <f>SUM(OSRRefP22x_0)</f>
        <v>160185.7399999999</v>
      </c>
      <c r="Q28" s="19"/>
      <c r="R28" s="35">
        <f t="shared" ref="R28:R38" si="9">IF(P$12=0,0,P28/P$12)</f>
        <v>2.1772380622161052</v>
      </c>
      <c r="S28" s="19"/>
      <c r="T28" s="19">
        <f>SUM(OSRRefT22x_0)</f>
        <v>162816.24772345784</v>
      </c>
      <c r="U28" s="19"/>
      <c r="V28" s="35">
        <f t="shared" ref="V28:V38" si="10">IF(T$12=0,0,T28/T$12)</f>
        <v>1.374986257619162</v>
      </c>
      <c r="W28" s="4"/>
      <c r="X28" s="19">
        <f t="shared" ref="X28:X38" si="11">+P28-T28</f>
        <v>-2630.5077234579367</v>
      </c>
      <c r="Y28" s="4"/>
      <c r="Z28" s="35">
        <f t="shared" ref="Z28:Z38" si="12">IF(T28=0,0,X28/T28)</f>
        <v>-1.6156297422637047E-2</v>
      </c>
    </row>
    <row r="29" spans="1:26" s="29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9539.5300000000007</v>
      </c>
      <c r="E29" s="1"/>
      <c r="F29" s="5">
        <f t="shared" si="5"/>
        <v>5.9700419300331689</v>
      </c>
      <c r="G29" s="1"/>
      <c r="H29" s="1">
        <f>SUM(OSRRefH22_0x_0)</f>
        <v>6413.4600554538438</v>
      </c>
      <c r="I29" s="1"/>
      <c r="J29" s="5">
        <f t="shared" si="6"/>
        <v>0.57263036209409324</v>
      </c>
      <c r="K29" s="1"/>
      <c r="L29" s="1">
        <f t="shared" si="7"/>
        <v>3126.0699445461569</v>
      </c>
      <c r="M29" s="1"/>
      <c r="N29" s="5">
        <f t="shared" si="8"/>
        <v>0.48742331245796505</v>
      </c>
      <c r="O29" s="14"/>
      <c r="P29" s="1">
        <f>SUM(OSRRefP22_0x_0)</f>
        <v>45812.57</v>
      </c>
      <c r="Q29" s="1"/>
      <c r="R29" s="5">
        <f t="shared" si="9"/>
        <v>0.62268258792536546</v>
      </c>
      <c r="S29" s="1"/>
      <c r="T29" s="1">
        <f>SUM(OSRRefT22_0x_0)</f>
        <v>33914.950634996138</v>
      </c>
      <c r="U29" s="1"/>
      <c r="V29" s="5">
        <f t="shared" si="10"/>
        <v>0.28641239251599182</v>
      </c>
      <c r="W29" s="1"/>
      <c r="X29" s="1">
        <f t="shared" si="11"/>
        <v>11897.619365003862</v>
      </c>
      <c r="Y29" s="1"/>
      <c r="Z29" s="5">
        <f t="shared" si="12"/>
        <v>0.35080750943883005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6">
        <v>1062.21</v>
      </c>
      <c r="E30" s="2"/>
      <c r="F30" s="7">
        <f t="shared" si="5"/>
        <v>0.66475373928280868</v>
      </c>
      <c r="G30" s="2"/>
      <c r="H30" s="6">
        <v>1059.48385137692</v>
      </c>
      <c r="I30" s="2"/>
      <c r="J30" s="7">
        <f t="shared" si="6"/>
        <v>9.4596772444367858E-2</v>
      </c>
      <c r="K30" s="2"/>
      <c r="L30" s="6">
        <f t="shared" si="7"/>
        <v>2.7261486230800074</v>
      </c>
      <c r="M30" s="2"/>
      <c r="N30" s="7">
        <f t="shared" si="8"/>
        <v>2.5730912458335883E-3</v>
      </c>
      <c r="O30" s="11"/>
      <c r="P30" s="6">
        <v>6620.47</v>
      </c>
      <c r="Q30" s="2"/>
      <c r="R30" s="7">
        <f t="shared" si="9"/>
        <v>8.9985158939615131E-2</v>
      </c>
      <c r="S30" s="2"/>
      <c r="T30" s="6">
        <v>5822.2632625730603</v>
      </c>
      <c r="U30" s="2"/>
      <c r="V30" s="7">
        <f t="shared" si="10"/>
        <v>4.9169122162035082E-2</v>
      </c>
      <c r="W30" s="2"/>
      <c r="X30" s="6">
        <f t="shared" si="11"/>
        <v>798.20673742693998</v>
      </c>
      <c r="Y30" s="2"/>
      <c r="Z30" s="7">
        <f t="shared" si="12"/>
        <v>0.13709561066364159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6">
        <v>556.65</v>
      </c>
      <c r="E31" s="2"/>
      <c r="F31" s="7">
        <f t="shared" si="5"/>
        <v>0.34836347706364601</v>
      </c>
      <c r="G31" s="2"/>
      <c r="H31" s="6">
        <v>273.91161192307703</v>
      </c>
      <c r="I31" s="2"/>
      <c r="J31" s="7">
        <f t="shared" si="6"/>
        <v>2.4456393921703307E-2</v>
      </c>
      <c r="K31" s="2"/>
      <c r="L31" s="6">
        <f t="shared" si="7"/>
        <v>282.73838807692294</v>
      </c>
      <c r="M31" s="2"/>
      <c r="N31" s="7">
        <f t="shared" si="8"/>
        <v>1.032224906756873</v>
      </c>
      <c r="O31" s="11"/>
      <c r="P31" s="6">
        <v>1787.3</v>
      </c>
      <c r="Q31" s="2"/>
      <c r="R31" s="7">
        <f t="shared" si="9"/>
        <v>2.429290889812568E-2</v>
      </c>
      <c r="S31" s="2"/>
      <c r="T31" s="6">
        <v>1502.5641155769229</v>
      </c>
      <c r="U31" s="2"/>
      <c r="V31" s="7">
        <f t="shared" si="10"/>
        <v>1.2689182062585382E-2</v>
      </c>
      <c r="W31" s="2"/>
      <c r="X31" s="6">
        <f t="shared" si="11"/>
        <v>284.7358844230771</v>
      </c>
      <c r="Y31" s="2"/>
      <c r="Z31" s="7">
        <f t="shared" si="12"/>
        <v>0.18949998969844306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6">
        <v>3423.78</v>
      </c>
      <c r="E32" s="2"/>
      <c r="F32" s="7">
        <f t="shared" si="5"/>
        <v>2.1426747606233181</v>
      </c>
      <c r="G32" s="2"/>
      <c r="H32" s="6">
        <v>2645</v>
      </c>
      <c r="I32" s="2"/>
      <c r="J32" s="7">
        <f t="shared" si="6"/>
        <v>0.23616071428571428</v>
      </c>
      <c r="K32" s="2"/>
      <c r="L32" s="6">
        <f t="shared" si="7"/>
        <v>778.7800000000002</v>
      </c>
      <c r="M32" s="2"/>
      <c r="N32" s="7">
        <f t="shared" si="8"/>
        <v>0.29443478260869571</v>
      </c>
      <c r="O32" s="11"/>
      <c r="P32" s="6">
        <v>16317.550000000001</v>
      </c>
      <c r="Q32" s="2"/>
      <c r="R32" s="7">
        <f t="shared" si="9"/>
        <v>0.22178747585218528</v>
      </c>
      <c r="S32" s="2"/>
      <c r="T32" s="6">
        <v>13225</v>
      </c>
      <c r="U32" s="2"/>
      <c r="V32" s="7">
        <f t="shared" si="10"/>
        <v>0.11168537238309983</v>
      </c>
      <c r="W32" s="2"/>
      <c r="X32" s="6">
        <f t="shared" si="11"/>
        <v>3092.5500000000011</v>
      </c>
      <c r="Y32" s="2"/>
      <c r="Z32" s="7">
        <f t="shared" si="12"/>
        <v>0.23384120982986775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6">
        <v>78.23</v>
      </c>
      <c r="E33" s="2"/>
      <c r="F33" s="7">
        <f t="shared" si="5"/>
        <v>4.8958007384692408E-2</v>
      </c>
      <c r="G33" s="2"/>
      <c r="H33" s="6">
        <v>42.788285999999999</v>
      </c>
      <c r="I33" s="2"/>
      <c r="J33" s="7">
        <f t="shared" si="6"/>
        <v>3.8203826785714284E-3</v>
      </c>
      <c r="K33" s="2"/>
      <c r="L33" s="6">
        <f t="shared" si="7"/>
        <v>35.441714000000005</v>
      </c>
      <c r="M33" s="2"/>
      <c r="N33" s="7">
        <f t="shared" si="8"/>
        <v>0.82830412977981882</v>
      </c>
      <c r="O33" s="11"/>
      <c r="P33" s="6">
        <v>251.18</v>
      </c>
      <c r="Q33" s="2"/>
      <c r="R33" s="7">
        <f t="shared" si="9"/>
        <v>3.4140283427690978E-3</v>
      </c>
      <c r="S33" s="2"/>
      <c r="T33" s="6">
        <v>228.00357299999999</v>
      </c>
      <c r="U33" s="2"/>
      <c r="V33" s="7">
        <f t="shared" si="10"/>
        <v>1.9254944389551821E-3</v>
      </c>
      <c r="W33" s="2"/>
      <c r="X33" s="6">
        <f t="shared" si="11"/>
        <v>23.176427000000018</v>
      </c>
      <c r="Y33" s="2"/>
      <c r="Z33" s="7">
        <f t="shared" si="12"/>
        <v>0.1016494026608961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6">
        <v>2180.81</v>
      </c>
      <c r="E34" s="2"/>
      <c r="F34" s="7">
        <f t="shared" si="5"/>
        <v>1.3647975467801488</v>
      </c>
      <c r="G34" s="2"/>
      <c r="H34" s="6">
        <v>991.92684461538511</v>
      </c>
      <c r="I34" s="2"/>
      <c r="J34" s="7">
        <f t="shared" si="6"/>
        <v>8.856489684065938E-2</v>
      </c>
      <c r="K34" s="2"/>
      <c r="L34" s="6">
        <f t="shared" si="7"/>
        <v>1188.8831553846148</v>
      </c>
      <c r="M34" s="2"/>
      <c r="N34" s="7">
        <f t="shared" si="8"/>
        <v>1.1985593109395065</v>
      </c>
      <c r="O34" s="11"/>
      <c r="P34" s="6">
        <v>8679.08</v>
      </c>
      <c r="Q34" s="2"/>
      <c r="R34" s="7">
        <f t="shared" si="9"/>
        <v>0.11796570232168334</v>
      </c>
      <c r="S34" s="2"/>
      <c r="T34" s="6">
        <v>5455.5976453846151</v>
      </c>
      <c r="U34" s="2"/>
      <c r="V34" s="7">
        <f t="shared" si="10"/>
        <v>4.6072624166135605E-2</v>
      </c>
      <c r="W34" s="2"/>
      <c r="X34" s="6">
        <f t="shared" si="11"/>
        <v>3223.4823546153848</v>
      </c>
      <c r="Y34" s="2"/>
      <c r="Z34" s="7">
        <f t="shared" si="12"/>
        <v>0.59085778756841079</v>
      </c>
    </row>
    <row r="35" spans="1:26" s="24" customFormat="1" hidden="1" outlineLevel="2" x14ac:dyDescent="0.25">
      <c r="A35" s="28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5"/>
        <v>0</v>
      </c>
      <c r="G35" s="2"/>
      <c r="H35" s="6">
        <v>0</v>
      </c>
      <c r="I35" s="2"/>
      <c r="J35" s="7">
        <f t="shared" si="6"/>
        <v>0</v>
      </c>
      <c r="K35" s="2"/>
      <c r="L35" s="6">
        <f t="shared" si="7"/>
        <v>0</v>
      </c>
      <c r="M35" s="2"/>
      <c r="N35" s="7">
        <f t="shared" si="8"/>
        <v>0</v>
      </c>
      <c r="O35" s="11"/>
      <c r="P35" s="6"/>
      <c r="Q35" s="2"/>
      <c r="R35" s="7">
        <f t="shared" si="9"/>
        <v>0</v>
      </c>
      <c r="S35" s="2"/>
      <c r="T35" s="6">
        <v>0</v>
      </c>
      <c r="U35" s="2"/>
      <c r="V35" s="7">
        <f t="shared" si="10"/>
        <v>0</v>
      </c>
      <c r="W35" s="2"/>
      <c r="X35" s="6">
        <f t="shared" si="11"/>
        <v>0</v>
      </c>
      <c r="Y35" s="2"/>
      <c r="Z35" s="7">
        <f t="shared" si="12"/>
        <v>0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5"/>
        <v>0.76106139307841536</v>
      </c>
      <c r="G36" s="2"/>
      <c r="H36" s="6">
        <v>956.61308461538511</v>
      </c>
      <c r="I36" s="2"/>
      <c r="J36" s="7">
        <f t="shared" si="6"/>
        <v>8.5411882554945098E-2</v>
      </c>
      <c r="K36" s="2"/>
      <c r="L36" s="6">
        <f t="shared" si="7"/>
        <v>259.4869153846148</v>
      </c>
      <c r="M36" s="2"/>
      <c r="N36" s="7">
        <f t="shared" si="8"/>
        <v>0.27125587090306613</v>
      </c>
      <c r="O36" s="11"/>
      <c r="P36" s="6">
        <v>6451.33</v>
      </c>
      <c r="Q36" s="2"/>
      <c r="R36" s="7">
        <f t="shared" si="9"/>
        <v>8.7686214939710821E-2</v>
      </c>
      <c r="S36" s="2"/>
      <c r="T36" s="6">
        <v>5261.3719653846156</v>
      </c>
      <c r="U36" s="2"/>
      <c r="V36" s="7">
        <f t="shared" si="10"/>
        <v>4.4432384665405111E-2</v>
      </c>
      <c r="W36" s="2"/>
      <c r="X36" s="6">
        <f t="shared" si="11"/>
        <v>1189.9580346153843</v>
      </c>
      <c r="Y36" s="2"/>
      <c r="Z36" s="7">
        <f t="shared" si="12"/>
        <v>0.2261687716520146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5"/>
        <v>0.46216909693973335</v>
      </c>
      <c r="G37" s="2"/>
      <c r="H37" s="6">
        <v>443.73637692307705</v>
      </c>
      <c r="I37" s="2"/>
      <c r="J37" s="7">
        <f t="shared" si="6"/>
        <v>3.9619319368131879E-2</v>
      </c>
      <c r="K37" s="2"/>
      <c r="L37" s="6">
        <f t="shared" si="7"/>
        <v>294.76362307692295</v>
      </c>
      <c r="M37" s="2"/>
      <c r="N37" s="7">
        <f t="shared" si="8"/>
        <v>0.66427644521923224</v>
      </c>
      <c r="O37" s="11"/>
      <c r="P37" s="6">
        <v>3955.77</v>
      </c>
      <c r="Q37" s="2"/>
      <c r="R37" s="7">
        <f t="shared" si="9"/>
        <v>5.3766664931426525E-2</v>
      </c>
      <c r="S37" s="2"/>
      <c r="T37" s="6">
        <v>2420.1500730769226</v>
      </c>
      <c r="U37" s="2"/>
      <c r="V37" s="7">
        <f t="shared" si="10"/>
        <v>2.0438212637775604E-2</v>
      </c>
      <c r="W37" s="2"/>
      <c r="X37" s="6">
        <f t="shared" si="11"/>
        <v>1535.6199269230774</v>
      </c>
      <c r="Y37" s="2"/>
      <c r="Z37" s="7">
        <f t="shared" si="12"/>
        <v>0.63451434024945652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6">
        <v>283.25</v>
      </c>
      <c r="E38" s="2"/>
      <c r="F38" s="7">
        <f t="shared" si="5"/>
        <v>0.17726390888040552</v>
      </c>
      <c r="G38" s="2"/>
      <c r="H38" s="6"/>
      <c r="I38" s="2"/>
      <c r="J38" s="7">
        <f t="shared" si="6"/>
        <v>0</v>
      </c>
      <c r="K38" s="2"/>
      <c r="L38" s="6">
        <f t="shared" si="7"/>
        <v>283.25</v>
      </c>
      <c r="M38" s="2"/>
      <c r="N38" s="7">
        <f t="shared" si="8"/>
        <v>0</v>
      </c>
      <c r="O38" s="11"/>
      <c r="P38" s="6">
        <v>1749.89</v>
      </c>
      <c r="Q38" s="2"/>
      <c r="R38" s="7">
        <f t="shared" si="9"/>
        <v>2.3784433699849578E-2</v>
      </c>
      <c r="S38" s="2"/>
      <c r="T38" s="6"/>
      <c r="U38" s="2"/>
      <c r="V38" s="7">
        <f t="shared" si="10"/>
        <v>0</v>
      </c>
      <c r="W38" s="2"/>
      <c r="X38" s="6">
        <f t="shared" si="11"/>
        <v>1749.89</v>
      </c>
      <c r="Y38" s="2"/>
      <c r="Z38" s="7">
        <f t="shared" si="12"/>
        <v>0</v>
      </c>
    </row>
    <row r="39" spans="1:26" s="29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12527.39</v>
      </c>
      <c r="E39" s="1"/>
      <c r="F39" s="5">
        <f t="shared" ref="F39:F49" si="13">IF(D$12=0,0,D39/D$12)</f>
        <v>7.8399086300769749</v>
      </c>
      <c r="G39" s="1"/>
      <c r="H39" s="1">
        <f>SUM(OSRRefH22_1x_0)</f>
        <v>10197.5085615385</v>
      </c>
      <c r="I39" s="1"/>
      <c r="J39" s="5">
        <f t="shared" ref="J39:J49" si="14">IF(H$12=0,0,H39/H$12)</f>
        <v>0.91049183585165172</v>
      </c>
      <c r="K39" s="1"/>
      <c r="L39" s="1">
        <f t="shared" ref="L39:L49" si="15">+D39-H39</f>
        <v>2329.8814384614998</v>
      </c>
      <c r="M39" s="1"/>
      <c r="N39" s="5">
        <f t="shared" ref="N39:N49" si="16">IF(H39=0,0,L39/H39)</f>
        <v>0.22847555600482775</v>
      </c>
      <c r="O39" s="14"/>
      <c r="P39" s="1">
        <f>SUM(OSRRefP22_1x_0)</f>
        <v>72695.44</v>
      </c>
      <c r="Q39" s="1"/>
      <c r="R39" s="5">
        <f t="shared" ref="R39:R49" si="17">IF(P$12=0,0,P39/P$12)</f>
        <v>0.98807346345278446</v>
      </c>
      <c r="S39" s="1"/>
      <c r="T39" s="1">
        <f>SUM(OSRRefT22_1x_0)</f>
        <v>56086.297088461703</v>
      </c>
      <c r="U39" s="1"/>
      <c r="V39" s="5">
        <f t="shared" ref="V39:V49" si="18">IF(T$12=0,0,T39/T$12)</f>
        <v>0.47364982804642819</v>
      </c>
      <c r="W39" s="1"/>
      <c r="X39" s="1">
        <f t="shared" ref="X39:X49" si="19">+P39-T39</f>
        <v>16609.1429115383</v>
      </c>
      <c r="Y39" s="1"/>
      <c r="Z39" s="5">
        <f t="shared" ref="Z39:Z49" si="20">IF(T39=0,0,X39/T39)</f>
        <v>0.29613548716438975</v>
      </c>
    </row>
    <row r="40" spans="1:26" s="24" customFormat="1" hidden="1" outlineLevel="2" x14ac:dyDescent="0.25">
      <c r="A40" s="28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0</v>
      </c>
      <c r="U40" s="2"/>
      <c r="V40" s="7">
        <f t="shared" si="18"/>
        <v>0</v>
      </c>
      <c r="W40" s="2"/>
      <c r="X40" s="6">
        <f t="shared" si="19"/>
        <v>0</v>
      </c>
      <c r="Y40" s="2"/>
      <c r="Z40" s="7">
        <f t="shared" si="20"/>
        <v>0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6">
        <v>12025.49</v>
      </c>
      <c r="E41" s="2"/>
      <c r="F41" s="7">
        <f t="shared" si="13"/>
        <v>7.5258088741473177</v>
      </c>
      <c r="G41" s="2"/>
      <c r="H41" s="6">
        <v>10197.5085615385</v>
      </c>
      <c r="I41" s="2"/>
      <c r="J41" s="7">
        <f t="shared" si="14"/>
        <v>0.91049183585165172</v>
      </c>
      <c r="K41" s="2"/>
      <c r="L41" s="6">
        <f t="shared" si="15"/>
        <v>1827.9814384615001</v>
      </c>
      <c r="M41" s="2"/>
      <c r="N41" s="7">
        <f t="shared" si="16"/>
        <v>0.1792576517519209</v>
      </c>
      <c r="O41" s="11"/>
      <c r="P41" s="6">
        <v>68793.919999999998</v>
      </c>
      <c r="Q41" s="2"/>
      <c r="R41" s="7">
        <f t="shared" si="17"/>
        <v>0.9350441623146345</v>
      </c>
      <c r="S41" s="2"/>
      <c r="T41" s="6">
        <v>56086.297088461703</v>
      </c>
      <c r="U41" s="2"/>
      <c r="V41" s="7">
        <f t="shared" si="18"/>
        <v>0.47364982804642819</v>
      </c>
      <c r="W41" s="2"/>
      <c r="X41" s="6">
        <f t="shared" si="19"/>
        <v>12707.622911538296</v>
      </c>
      <c r="Y41" s="2"/>
      <c r="Z41" s="7">
        <f t="shared" si="20"/>
        <v>0.2265726847949204</v>
      </c>
    </row>
    <row r="42" spans="1:26" s="24" customFormat="1" hidden="1" outlineLevel="2" x14ac:dyDescent="0.25">
      <c r="A42" s="28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3"/>
        <v>0</v>
      </c>
      <c r="G42" s="2"/>
      <c r="H42" s="6">
        <v>0</v>
      </c>
      <c r="I42" s="2"/>
      <c r="J42" s="7">
        <f t="shared" si="14"/>
        <v>0</v>
      </c>
      <c r="K42" s="2"/>
      <c r="L42" s="6">
        <f t="shared" si="15"/>
        <v>0</v>
      </c>
      <c r="M42" s="2"/>
      <c r="N42" s="7">
        <f t="shared" si="16"/>
        <v>0</v>
      </c>
      <c r="O42" s="11"/>
      <c r="P42" s="6"/>
      <c r="Q42" s="2"/>
      <c r="R42" s="7">
        <f t="shared" si="17"/>
        <v>0</v>
      </c>
      <c r="S42" s="2"/>
      <c r="T42" s="6">
        <v>0</v>
      </c>
      <c r="U42" s="2"/>
      <c r="V42" s="7">
        <f t="shared" si="18"/>
        <v>0</v>
      </c>
      <c r="W42" s="2"/>
      <c r="X42" s="6">
        <f t="shared" si="19"/>
        <v>0</v>
      </c>
      <c r="Y42" s="2"/>
      <c r="Z42" s="7">
        <f t="shared" si="20"/>
        <v>0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3"/>
        <v>0</v>
      </c>
      <c r="G43" s="2"/>
      <c r="H43" s="6">
        <v>0</v>
      </c>
      <c r="I43" s="2"/>
      <c r="J43" s="7">
        <f t="shared" si="14"/>
        <v>0</v>
      </c>
      <c r="K43" s="2"/>
      <c r="L43" s="6">
        <f t="shared" si="15"/>
        <v>0</v>
      </c>
      <c r="M43" s="2"/>
      <c r="N43" s="7">
        <f t="shared" si="16"/>
        <v>0</v>
      </c>
      <c r="O43" s="11"/>
      <c r="P43" s="6"/>
      <c r="Q43" s="2"/>
      <c r="R43" s="7">
        <f t="shared" si="17"/>
        <v>0</v>
      </c>
      <c r="S43" s="2"/>
      <c r="T43" s="6">
        <v>0</v>
      </c>
      <c r="U43" s="2"/>
      <c r="V43" s="7">
        <f t="shared" si="18"/>
        <v>0</v>
      </c>
      <c r="W43" s="2"/>
      <c r="X43" s="6">
        <f t="shared" si="19"/>
        <v>0</v>
      </c>
      <c r="Y43" s="2"/>
      <c r="Z43" s="7">
        <f t="shared" si="20"/>
        <v>0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>
        <v>383.25</v>
      </c>
      <c r="Q44" s="2"/>
      <c r="R44" s="7">
        <f t="shared" si="17"/>
        <v>5.2091184105671502E-3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383.25</v>
      </c>
      <c r="Y44" s="2"/>
      <c r="Z44" s="7">
        <f t="shared" si="20"/>
        <v>0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3"/>
        <v>0</v>
      </c>
      <c r="G45" s="2"/>
      <c r="H45" s="6">
        <v>0</v>
      </c>
      <c r="I45" s="2"/>
      <c r="J45" s="7">
        <f t="shared" si="14"/>
        <v>0</v>
      </c>
      <c r="K45" s="2"/>
      <c r="L45" s="6">
        <f t="shared" si="15"/>
        <v>0</v>
      </c>
      <c r="M45" s="2"/>
      <c r="N45" s="7">
        <f t="shared" si="16"/>
        <v>0</v>
      </c>
      <c r="O45" s="11"/>
      <c r="P45" s="6"/>
      <c r="Q45" s="2"/>
      <c r="R45" s="7">
        <f t="shared" si="17"/>
        <v>0</v>
      </c>
      <c r="S45" s="2"/>
      <c r="T45" s="6">
        <v>0</v>
      </c>
      <c r="U45" s="2"/>
      <c r="V45" s="7">
        <f t="shared" si="18"/>
        <v>0</v>
      </c>
      <c r="W45" s="2"/>
      <c r="X45" s="6">
        <f t="shared" si="19"/>
        <v>0</v>
      </c>
      <c r="Y45" s="2"/>
      <c r="Z45" s="7">
        <f t="shared" si="20"/>
        <v>0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6">
        <v>501.9</v>
      </c>
      <c r="E46" s="2"/>
      <c r="F46" s="7">
        <f t="shared" si="13"/>
        <v>0.31409975592965766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501.9</v>
      </c>
      <c r="M46" s="2"/>
      <c r="N46" s="7">
        <f t="shared" si="16"/>
        <v>0</v>
      </c>
      <c r="O46" s="11"/>
      <c r="P46" s="6">
        <v>3518.27</v>
      </c>
      <c r="Q46" s="2"/>
      <c r="R46" s="7">
        <f t="shared" si="17"/>
        <v>4.7820182727582747E-2</v>
      </c>
      <c r="S46" s="2"/>
      <c r="T46" s="6">
        <v>0</v>
      </c>
      <c r="U46" s="2"/>
      <c r="V46" s="7">
        <f t="shared" si="18"/>
        <v>0</v>
      </c>
      <c r="W46" s="2"/>
      <c r="X46" s="6">
        <f t="shared" si="19"/>
        <v>3518.27</v>
      </c>
      <c r="Y46" s="2"/>
      <c r="Z46" s="7">
        <f t="shared" si="20"/>
        <v>0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3"/>
        <v>0</v>
      </c>
      <c r="G47" s="2"/>
      <c r="H47" s="6">
        <v>0</v>
      </c>
      <c r="I47" s="2"/>
      <c r="J47" s="7">
        <f t="shared" si="14"/>
        <v>0</v>
      </c>
      <c r="K47" s="2"/>
      <c r="L47" s="6">
        <f t="shared" si="15"/>
        <v>0</v>
      </c>
      <c r="M47" s="2"/>
      <c r="N47" s="7">
        <f t="shared" si="16"/>
        <v>0</v>
      </c>
      <c r="O47" s="11"/>
      <c r="P47" s="6"/>
      <c r="Q47" s="2"/>
      <c r="R47" s="7">
        <f t="shared" si="17"/>
        <v>0</v>
      </c>
      <c r="S47" s="2"/>
      <c r="T47" s="6">
        <v>0</v>
      </c>
      <c r="U47" s="2"/>
      <c r="V47" s="7">
        <f t="shared" si="18"/>
        <v>0</v>
      </c>
      <c r="W47" s="2"/>
      <c r="X47" s="6">
        <f t="shared" si="19"/>
        <v>0</v>
      </c>
      <c r="Y47" s="2"/>
      <c r="Z47" s="7">
        <f t="shared" si="20"/>
        <v>0</v>
      </c>
    </row>
    <row r="48" spans="1:26" s="24" customFormat="1" hidden="1" outlineLevel="2" x14ac:dyDescent="0.25">
      <c r="A48" s="28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3"/>
        <v>0</v>
      </c>
      <c r="G48" s="2"/>
      <c r="H48" s="6">
        <v>0</v>
      </c>
      <c r="I48" s="2"/>
      <c r="J48" s="7">
        <f t="shared" si="14"/>
        <v>0</v>
      </c>
      <c r="K48" s="2"/>
      <c r="L48" s="6">
        <f t="shared" si="15"/>
        <v>0</v>
      </c>
      <c r="M48" s="2"/>
      <c r="N48" s="7">
        <f t="shared" si="16"/>
        <v>0</v>
      </c>
      <c r="O48" s="11"/>
      <c r="P48" s="6"/>
      <c r="Q48" s="2"/>
      <c r="R48" s="7">
        <f t="shared" si="17"/>
        <v>0</v>
      </c>
      <c r="S48" s="2"/>
      <c r="T48" s="6">
        <v>0</v>
      </c>
      <c r="U48" s="2"/>
      <c r="V48" s="7">
        <f t="shared" si="18"/>
        <v>0</v>
      </c>
      <c r="W48" s="2"/>
      <c r="X48" s="6">
        <f t="shared" si="19"/>
        <v>0</v>
      </c>
      <c r="Y48" s="2"/>
      <c r="Z48" s="7">
        <f t="shared" si="20"/>
        <v>0</v>
      </c>
    </row>
    <row r="49" spans="1:26" s="24" customFormat="1" hidden="1" outlineLevel="2" x14ac:dyDescent="0.25">
      <c r="A49" s="28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3"/>
        <v>0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0</v>
      </c>
      <c r="M49" s="2"/>
      <c r="N49" s="7">
        <f t="shared" si="16"/>
        <v>0</v>
      </c>
      <c r="O49" s="11"/>
      <c r="P49" s="6"/>
      <c r="Q49" s="2"/>
      <c r="R49" s="7">
        <f t="shared" si="17"/>
        <v>0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0</v>
      </c>
      <c r="Y49" s="2"/>
      <c r="Z49" s="7">
        <f t="shared" si="20"/>
        <v>0</v>
      </c>
    </row>
    <row r="50" spans="1:26" s="29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1">IF(D$12=0,0,D50/D$12)</f>
        <v>0</v>
      </c>
      <c r="G50" s="1"/>
      <c r="H50" s="1">
        <f>SUM(OSRRefH22_2x_0)</f>
        <v>50</v>
      </c>
      <c r="I50" s="1"/>
      <c r="J50" s="5">
        <f t="shared" ref="J50:J60" si="22">IF(H$12=0,0,H50/H$12)</f>
        <v>4.464285714285714E-3</v>
      </c>
      <c r="K50" s="1"/>
      <c r="L50" s="1">
        <f t="shared" ref="L50:L60" si="23">+D50-H50</f>
        <v>-50</v>
      </c>
      <c r="M50" s="1"/>
      <c r="N50" s="5">
        <f t="shared" ref="N50:N60" si="24">IF(H50=0,0,L50/H50)</f>
        <v>-1</v>
      </c>
      <c r="O50" s="14"/>
      <c r="P50" s="1">
        <f>SUM(OSRRefP22_2x_0)</f>
        <v>0</v>
      </c>
      <c r="Q50" s="1"/>
      <c r="R50" s="5">
        <f t="shared" ref="R50:R60" si="25">IF(P$12=0,0,P50/P$12)</f>
        <v>0</v>
      </c>
      <c r="S50" s="1"/>
      <c r="T50" s="1">
        <f>SUM(OSRRefT22_2x_0)</f>
        <v>250</v>
      </c>
      <c r="U50" s="1"/>
      <c r="V50" s="5">
        <f t="shared" ref="V50:V60" si="26">IF(T$12=0,0,T50/T$12)</f>
        <v>2.1112546764291084E-3</v>
      </c>
      <c r="W50" s="1"/>
      <c r="X50" s="1">
        <f t="shared" ref="X50:X60" si="27">+P50-T50</f>
        <v>-250</v>
      </c>
      <c r="Y50" s="1"/>
      <c r="Z50" s="5">
        <f t="shared" ref="Z50:Z60" si="28">IF(T50=0,0,X50/T50)</f>
        <v>-1</v>
      </c>
    </row>
    <row r="51" spans="1:26" s="24" customFormat="1" hidden="1" outlineLevel="2" x14ac:dyDescent="0.25">
      <c r="A51" s="28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1"/>
        <v>0</v>
      </c>
      <c r="G51" s="2"/>
      <c r="H51" s="6">
        <v>50</v>
      </c>
      <c r="I51" s="2"/>
      <c r="J51" s="7">
        <f t="shared" si="22"/>
        <v>4.464285714285714E-3</v>
      </c>
      <c r="K51" s="2"/>
      <c r="L51" s="6">
        <f t="shared" si="23"/>
        <v>-50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250</v>
      </c>
      <c r="U51" s="2"/>
      <c r="V51" s="7">
        <f t="shared" si="26"/>
        <v>2.1112546764291084E-3</v>
      </c>
      <c r="W51" s="2"/>
      <c r="X51" s="6">
        <f t="shared" si="27"/>
        <v>-250</v>
      </c>
      <c r="Y51" s="2"/>
      <c r="Z51" s="7">
        <f t="shared" si="28"/>
        <v>-1</v>
      </c>
    </row>
    <row r="52" spans="1:26" s="29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1"/>
        <v>0.10631453783090306</v>
      </c>
      <c r="G52" s="1"/>
      <c r="H52" s="1">
        <f>SUM(OSRRefH22_3x_0)</f>
        <v>170</v>
      </c>
      <c r="I52" s="1"/>
      <c r="J52" s="5">
        <f t="shared" si="22"/>
        <v>1.5178571428571428E-2</v>
      </c>
      <c r="K52" s="1"/>
      <c r="L52" s="1">
        <f t="shared" si="23"/>
        <v>-0.12000000000000455</v>
      </c>
      <c r="M52" s="1"/>
      <c r="N52" s="5">
        <f t="shared" si="24"/>
        <v>-7.0588235294120319E-4</v>
      </c>
      <c r="O52" s="14"/>
      <c r="P52" s="1">
        <f>SUM(OSRRefP22_3x_0)</f>
        <v>849.4</v>
      </c>
      <c r="Q52" s="1"/>
      <c r="R52" s="5">
        <f t="shared" si="25"/>
        <v>1.1545010249016927E-2</v>
      </c>
      <c r="S52" s="1"/>
      <c r="T52" s="1">
        <f>SUM(OSRRefT22_3x_0)</f>
        <v>850</v>
      </c>
      <c r="U52" s="1"/>
      <c r="V52" s="5">
        <f t="shared" si="26"/>
        <v>7.1782658998589682E-3</v>
      </c>
      <c r="W52" s="1"/>
      <c r="X52" s="1">
        <f t="shared" si="27"/>
        <v>-0.60000000000002274</v>
      </c>
      <c r="Y52" s="1"/>
      <c r="Z52" s="5">
        <f t="shared" si="28"/>
        <v>-7.0588235294120319E-4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1"/>
        <v>0.10631453783090306</v>
      </c>
      <c r="G53" s="2"/>
      <c r="H53" s="6">
        <v>170</v>
      </c>
      <c r="I53" s="2"/>
      <c r="J53" s="7">
        <f t="shared" si="22"/>
        <v>1.5178571428571428E-2</v>
      </c>
      <c r="K53" s="2"/>
      <c r="L53" s="6">
        <f t="shared" si="23"/>
        <v>-0.12000000000000455</v>
      </c>
      <c r="M53" s="2"/>
      <c r="N53" s="7">
        <f t="shared" si="24"/>
        <v>-7.0588235294120319E-4</v>
      </c>
      <c r="O53" s="11"/>
      <c r="P53" s="6">
        <v>849.4</v>
      </c>
      <c r="Q53" s="2"/>
      <c r="R53" s="7">
        <f t="shared" si="25"/>
        <v>1.1545010249016927E-2</v>
      </c>
      <c r="S53" s="2"/>
      <c r="T53" s="6">
        <v>850</v>
      </c>
      <c r="U53" s="2"/>
      <c r="V53" s="7">
        <f t="shared" si="26"/>
        <v>7.1782658998589682E-3</v>
      </c>
      <c r="W53" s="2"/>
      <c r="X53" s="6">
        <f t="shared" si="27"/>
        <v>-0.60000000000002274</v>
      </c>
      <c r="Y53" s="2"/>
      <c r="Z53" s="7">
        <f t="shared" si="28"/>
        <v>-7.0588235294120319E-4</v>
      </c>
    </row>
    <row r="54" spans="1:26" s="29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1"/>
        <v>0</v>
      </c>
      <c r="G54" s="1"/>
      <c r="H54" s="1">
        <f>SUM(OSRRefH22_4x_0)</f>
        <v>50</v>
      </c>
      <c r="I54" s="1"/>
      <c r="J54" s="5">
        <f t="shared" si="22"/>
        <v>4.464285714285714E-3</v>
      </c>
      <c r="K54" s="1"/>
      <c r="L54" s="1">
        <f t="shared" si="23"/>
        <v>-50</v>
      </c>
      <c r="M54" s="1"/>
      <c r="N54" s="5">
        <f t="shared" si="24"/>
        <v>-1</v>
      </c>
      <c r="O54" s="14"/>
      <c r="P54" s="1">
        <f>SUM(OSRRefP22_4x_0)</f>
        <v>0</v>
      </c>
      <c r="Q54" s="1"/>
      <c r="R54" s="5">
        <f t="shared" si="25"/>
        <v>0</v>
      </c>
      <c r="S54" s="1"/>
      <c r="T54" s="1">
        <f>SUM(OSRRefT22_4x_0)</f>
        <v>250</v>
      </c>
      <c r="U54" s="1"/>
      <c r="V54" s="5">
        <f t="shared" si="26"/>
        <v>2.1112546764291084E-3</v>
      </c>
      <c r="W54" s="1"/>
      <c r="X54" s="1">
        <f t="shared" si="27"/>
        <v>-250</v>
      </c>
      <c r="Y54" s="1"/>
      <c r="Z54" s="5">
        <f t="shared" si="28"/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1"/>
        <v>0</v>
      </c>
      <c r="G55" s="2"/>
      <c r="H55" s="6">
        <v>50</v>
      </c>
      <c r="I55" s="2"/>
      <c r="J55" s="7">
        <f t="shared" si="22"/>
        <v>4.464285714285714E-3</v>
      </c>
      <c r="K55" s="2"/>
      <c r="L55" s="6">
        <f t="shared" si="23"/>
        <v>-50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250</v>
      </c>
      <c r="U55" s="2"/>
      <c r="V55" s="7">
        <f t="shared" si="26"/>
        <v>2.1112546764291084E-3</v>
      </c>
      <c r="W55" s="2"/>
      <c r="X55" s="6">
        <f t="shared" si="27"/>
        <v>-250</v>
      </c>
      <c r="Y55" s="2"/>
      <c r="Z55" s="7">
        <f t="shared" si="28"/>
        <v>-1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1"/>
        <v>0.7545153013329996</v>
      </c>
      <c r="G56" s="1"/>
      <c r="H56" s="1">
        <f>SUM(OSRRefH22_5x_0)</f>
        <v>1206</v>
      </c>
      <c r="I56" s="1"/>
      <c r="J56" s="5">
        <f t="shared" si="22"/>
        <v>0.10767857142857143</v>
      </c>
      <c r="K56" s="1"/>
      <c r="L56" s="1">
        <f t="shared" si="23"/>
        <v>-0.35999999999989996</v>
      </c>
      <c r="M56" s="1"/>
      <c r="N56" s="5">
        <f t="shared" si="24"/>
        <v>-2.9850746268648423E-4</v>
      </c>
      <c r="O56" s="14"/>
      <c r="P56" s="1">
        <f>SUM(OSRRefP22_5x_0)</f>
        <v>6028.2</v>
      </c>
      <c r="Q56" s="1"/>
      <c r="R56" s="5">
        <f t="shared" si="25"/>
        <v>8.1935049191339579E-2</v>
      </c>
      <c r="S56" s="1"/>
      <c r="T56" s="1">
        <f>SUM(OSRRefT22_5x_0)</f>
        <v>6030</v>
      </c>
      <c r="U56" s="1"/>
      <c r="V56" s="5">
        <f t="shared" si="26"/>
        <v>5.0923462795470095E-2</v>
      </c>
      <c r="W56" s="1"/>
      <c r="X56" s="1">
        <f t="shared" si="27"/>
        <v>-1.8000000000001819</v>
      </c>
      <c r="Y56" s="1"/>
      <c r="Z56" s="5">
        <f t="shared" si="28"/>
        <v>-2.9850746268659731E-4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1"/>
        <v>0.7545153013329996</v>
      </c>
      <c r="G57" s="2"/>
      <c r="H57" s="6">
        <v>1206</v>
      </c>
      <c r="I57" s="2"/>
      <c r="J57" s="7">
        <f t="shared" si="22"/>
        <v>0.10767857142857143</v>
      </c>
      <c r="K57" s="2"/>
      <c r="L57" s="6">
        <f t="shared" si="23"/>
        <v>-0.35999999999989996</v>
      </c>
      <c r="M57" s="2"/>
      <c r="N57" s="7">
        <f t="shared" si="24"/>
        <v>-2.9850746268648423E-4</v>
      </c>
      <c r="O57" s="11"/>
      <c r="P57" s="6">
        <v>6028.2</v>
      </c>
      <c r="Q57" s="2"/>
      <c r="R57" s="7">
        <f t="shared" si="25"/>
        <v>8.1935049191339579E-2</v>
      </c>
      <c r="S57" s="2"/>
      <c r="T57" s="6">
        <v>6030</v>
      </c>
      <c r="U57" s="2"/>
      <c r="V57" s="7">
        <f t="shared" si="26"/>
        <v>5.0923462795470095E-2</v>
      </c>
      <c r="W57" s="2"/>
      <c r="X57" s="6">
        <f t="shared" si="27"/>
        <v>-1.8000000000001819</v>
      </c>
      <c r="Y57" s="2"/>
      <c r="Z57" s="7">
        <f t="shared" si="28"/>
        <v>-2.9850746268659731E-4</v>
      </c>
    </row>
    <row r="58" spans="1:26" s="29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8307.7900000000009</v>
      </c>
      <c r="E58" s="1"/>
      <c r="F58" s="5">
        <f t="shared" si="21"/>
        <v>5.1991926904061581</v>
      </c>
      <c r="G58" s="1"/>
      <c r="H58" s="1">
        <f>SUM(OSRRefH22_6x_0)</f>
        <v>4500</v>
      </c>
      <c r="I58" s="1"/>
      <c r="J58" s="5">
        <f t="shared" si="22"/>
        <v>0.4017857142857143</v>
      </c>
      <c r="K58" s="1"/>
      <c r="L58" s="1">
        <f t="shared" si="23"/>
        <v>3807.7900000000009</v>
      </c>
      <c r="M58" s="1"/>
      <c r="N58" s="5">
        <f t="shared" si="24"/>
        <v>0.84617555555555579</v>
      </c>
      <c r="O58" s="14"/>
      <c r="P58" s="1">
        <f>SUM(OSRRefP22_6x_0)</f>
        <v>-24841.370000000024</v>
      </c>
      <c r="Q58" s="1"/>
      <c r="R58" s="5">
        <f t="shared" si="25"/>
        <v>-0.33764289056936886</v>
      </c>
      <c r="S58" s="1"/>
      <c r="T58" s="1">
        <f>SUM(OSRRefT22_6x_0)</f>
        <v>32810</v>
      </c>
      <c r="U58" s="1"/>
      <c r="V58" s="5">
        <f t="shared" si="26"/>
        <v>0.27708106373455615</v>
      </c>
      <c r="W58" s="1"/>
      <c r="X58" s="1">
        <f t="shared" si="27"/>
        <v>-57651.370000000024</v>
      </c>
      <c r="Y58" s="1"/>
      <c r="Z58" s="5">
        <f t="shared" si="28"/>
        <v>-1.7571280097531248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6">
        <v>12643.45</v>
      </c>
      <c r="E59" s="2"/>
      <c r="F59" s="7">
        <f t="shared" si="21"/>
        <v>7.9125414606671258</v>
      </c>
      <c r="G59" s="2"/>
      <c r="H59" s="6">
        <v>3500</v>
      </c>
      <c r="I59" s="2"/>
      <c r="J59" s="7">
        <f t="shared" si="22"/>
        <v>0.3125</v>
      </c>
      <c r="K59" s="2"/>
      <c r="L59" s="6">
        <f t="shared" si="23"/>
        <v>9143.4500000000007</v>
      </c>
      <c r="M59" s="2"/>
      <c r="N59" s="7">
        <f t="shared" si="24"/>
        <v>2.6124142857142858</v>
      </c>
      <c r="O59" s="11"/>
      <c r="P59" s="6">
        <v>98238.23</v>
      </c>
      <c r="Q59" s="2"/>
      <c r="R59" s="7">
        <f t="shared" si="25"/>
        <v>1.3352500261305418</v>
      </c>
      <c r="S59" s="2"/>
      <c r="T59" s="6">
        <v>17060</v>
      </c>
      <c r="U59" s="2"/>
      <c r="V59" s="7">
        <f t="shared" si="26"/>
        <v>0.14407201911952236</v>
      </c>
      <c r="W59" s="2"/>
      <c r="X59" s="6">
        <f t="shared" si="27"/>
        <v>81178.23</v>
      </c>
      <c r="Y59" s="2"/>
      <c r="Z59" s="7">
        <f t="shared" si="28"/>
        <v>4.7583956623681125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6">
        <v>-4335.66</v>
      </c>
      <c r="E60" s="2"/>
      <c r="F60" s="7">
        <f t="shared" si="21"/>
        <v>-2.7133487702609673</v>
      </c>
      <c r="G60" s="2"/>
      <c r="H60" s="6">
        <v>1000</v>
      </c>
      <c r="I60" s="2"/>
      <c r="J60" s="7">
        <f t="shared" si="22"/>
        <v>8.9285714285714288E-2</v>
      </c>
      <c r="K60" s="2"/>
      <c r="L60" s="6">
        <f t="shared" si="23"/>
        <v>-5335.66</v>
      </c>
      <c r="M60" s="2"/>
      <c r="N60" s="7">
        <f t="shared" si="24"/>
        <v>-5.3356599999999998</v>
      </c>
      <c r="O60" s="11"/>
      <c r="P60" s="6">
        <v>-123079.60000000002</v>
      </c>
      <c r="Q60" s="2"/>
      <c r="R60" s="7">
        <f t="shared" si="25"/>
        <v>-1.6728929166999105</v>
      </c>
      <c r="S60" s="2"/>
      <c r="T60" s="6">
        <v>15750</v>
      </c>
      <c r="U60" s="2"/>
      <c r="V60" s="7">
        <f t="shared" si="26"/>
        <v>0.13300904461503382</v>
      </c>
      <c r="W60" s="2"/>
      <c r="X60" s="6">
        <f t="shared" si="27"/>
        <v>-138829.60000000003</v>
      </c>
      <c r="Y60" s="2"/>
      <c r="Z60" s="7">
        <f t="shared" si="28"/>
        <v>-8.8145777777777798</v>
      </c>
    </row>
    <row r="61" spans="1:26" s="29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400.12</v>
      </c>
      <c r="E61" s="1"/>
      <c r="F61" s="5">
        <f t="shared" ref="F61:F63" si="29">IF(D$12=0,0,D61/D$12)</f>
        <v>0.25040365479692095</v>
      </c>
      <c r="G61" s="1"/>
      <c r="H61" s="1">
        <f>SUM(OSRRefH22_7x_0)</f>
        <v>1400</v>
      </c>
      <c r="I61" s="1"/>
      <c r="J61" s="5">
        <f t="shared" ref="J61:J63" si="30">IF(H$12=0,0,H61/H$12)</f>
        <v>0.125</v>
      </c>
      <c r="K61" s="1"/>
      <c r="L61" s="1">
        <f t="shared" ref="L61:L63" si="31">+D61-H61</f>
        <v>-999.88</v>
      </c>
      <c r="M61" s="1"/>
      <c r="N61" s="5">
        <f t="shared" ref="N61:N63" si="32">IF(H61=0,0,L61/H61)</f>
        <v>-0.71419999999999995</v>
      </c>
      <c r="O61" s="14"/>
      <c r="P61" s="1">
        <f>SUM(OSRRefP22_7x_0)</f>
        <v>24520.880000000001</v>
      </c>
      <c r="Q61" s="1"/>
      <c r="R61" s="5">
        <f t="shared" ref="R61:R63" si="33">IF(P$12=0,0,P61/P$12)</f>
        <v>0.33328680352591733</v>
      </c>
      <c r="S61" s="1"/>
      <c r="T61" s="1">
        <f>SUM(OSRRefT22_7x_0)</f>
        <v>21700</v>
      </c>
      <c r="U61" s="1"/>
      <c r="V61" s="5">
        <f t="shared" ref="V61:V63" si="34">IF(T$12=0,0,T61/T$12)</f>
        <v>0.18325690591404659</v>
      </c>
      <c r="W61" s="1"/>
      <c r="X61" s="1">
        <f t="shared" ref="X61:X63" si="35">+P61-T61</f>
        <v>2820.880000000001</v>
      </c>
      <c r="Y61" s="1"/>
      <c r="Z61" s="5">
        <f t="shared" ref="Z61:Z63" si="36">IF(T61=0,0,X61/T61)</f>
        <v>0.129994470046083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7.69</v>
      </c>
      <c r="Q62" s="2"/>
      <c r="R62" s="7">
        <f t="shared" si="33"/>
        <v>1.0452216719441979E-4</v>
      </c>
      <c r="S62" s="2"/>
      <c r="T62" s="6"/>
      <c r="U62" s="2"/>
      <c r="V62" s="7">
        <f t="shared" si="34"/>
        <v>0</v>
      </c>
      <c r="W62" s="2"/>
      <c r="X62" s="6">
        <f t="shared" si="35"/>
        <v>7.69</v>
      </c>
      <c r="Y62" s="2"/>
      <c r="Z62" s="7">
        <f t="shared" si="36"/>
        <v>0</v>
      </c>
    </row>
    <row r="63" spans="1:26" s="24" customFormat="1" hidden="1" outlineLevel="2" x14ac:dyDescent="0.25">
      <c r="A63" s="28"/>
      <c r="B63" s="11" t="str">
        <f>CONCATENATE("          ", "6373", " - ", "MAINTENANCE CONTRACTS")</f>
        <v xml:space="preserve">          6373 - MAINTENANCE CONTRACTS</v>
      </c>
      <c r="C63" s="11"/>
      <c r="D63" s="6">
        <v>400.12</v>
      </c>
      <c r="E63" s="2"/>
      <c r="F63" s="7">
        <f t="shared" si="29"/>
        <v>0.25040365479692095</v>
      </c>
      <c r="G63" s="2"/>
      <c r="H63" s="6">
        <v>1400</v>
      </c>
      <c r="I63" s="2"/>
      <c r="J63" s="7">
        <f t="shared" si="30"/>
        <v>0.125</v>
      </c>
      <c r="K63" s="2"/>
      <c r="L63" s="6">
        <f t="shared" si="31"/>
        <v>-999.88</v>
      </c>
      <c r="M63" s="2"/>
      <c r="N63" s="7">
        <f t="shared" si="32"/>
        <v>-0.71419999999999995</v>
      </c>
      <c r="O63" s="11"/>
      <c r="P63" s="6">
        <v>24513.190000000002</v>
      </c>
      <c r="Q63" s="2"/>
      <c r="R63" s="7">
        <f t="shared" si="33"/>
        <v>0.33318228135872296</v>
      </c>
      <c r="S63" s="2"/>
      <c r="T63" s="6">
        <v>21700</v>
      </c>
      <c r="U63" s="2"/>
      <c r="V63" s="7">
        <f t="shared" si="34"/>
        <v>0.18325690591404659</v>
      </c>
      <c r="W63" s="2"/>
      <c r="X63" s="6">
        <f t="shared" si="35"/>
        <v>2813.1900000000023</v>
      </c>
      <c r="Y63" s="2"/>
      <c r="Z63" s="7">
        <f t="shared" si="36"/>
        <v>0.12964009216589872</v>
      </c>
    </row>
    <row r="64" spans="1:26" s="29" customFormat="1" outlineLevel="1" collapsed="1" x14ac:dyDescent="0.25">
      <c r="A64" s="27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4453.09</v>
      </c>
      <c r="E64" s="1"/>
      <c r="F64" s="5">
        <f t="shared" ref="F64:F71" si="37">IF(D$12=0,0,D64/D$12)</f>
        <v>2.7868389761562051</v>
      </c>
      <c r="G64" s="1"/>
      <c r="H64" s="1">
        <f>SUM(OSRRefH22_8x_0)</f>
        <v>900</v>
      </c>
      <c r="I64" s="1"/>
      <c r="J64" s="5">
        <f t="shared" ref="J64:J71" si="38">IF(H$12=0,0,H64/H$12)</f>
        <v>8.0357142857142863E-2</v>
      </c>
      <c r="K64" s="1"/>
      <c r="L64" s="1">
        <f t="shared" ref="L64:L71" si="39">+D64-H64</f>
        <v>3553.09</v>
      </c>
      <c r="M64" s="1"/>
      <c r="N64" s="5">
        <f t="shared" ref="N64:N71" si="40">IF(H64=0,0,L64/H64)</f>
        <v>3.9478777777777778</v>
      </c>
      <c r="O64" s="14"/>
      <c r="P64" s="1">
        <f>SUM(OSRRefP22_8x_0)</f>
        <v>10158.290000000001</v>
      </c>
      <c r="Q64" s="1"/>
      <c r="R64" s="5">
        <f t="shared" ref="R64:R71" si="41">IF(P$12=0,0,P64/P$12)</f>
        <v>0.13807106447196393</v>
      </c>
      <c r="S64" s="1"/>
      <c r="T64" s="1">
        <f>SUM(OSRRefT22_8x_0)</f>
        <v>3450</v>
      </c>
      <c r="U64" s="1"/>
      <c r="V64" s="5">
        <f t="shared" ref="V64:V71" si="42">IF(T$12=0,0,T64/T$12)</f>
        <v>2.9135314534721693E-2</v>
      </c>
      <c r="W64" s="1"/>
      <c r="X64" s="1">
        <f t="shared" ref="X64:X71" si="43">+P64-T64</f>
        <v>6708.2900000000009</v>
      </c>
      <c r="Y64" s="1"/>
      <c r="Z64" s="5">
        <f t="shared" ref="Z64:Z71" si="44">IF(T64=0,0,X64/T64)</f>
        <v>1.9444318840579713</v>
      </c>
    </row>
    <row r="65" spans="1:26" s="24" customFormat="1" hidden="1" outlineLevel="2" x14ac:dyDescent="0.25">
      <c r="A65" s="28"/>
      <c r="B65" s="11" t="str">
        <f>CONCATENATE("          ", "6259", " - ", "ROYALTY &amp; COMMISSIONS")</f>
        <v xml:space="preserve">          6259 - ROYALTY &amp; COMMISSIONS</v>
      </c>
      <c r="C65" s="11"/>
      <c r="D65" s="6">
        <v>4453.09</v>
      </c>
      <c r="E65" s="2"/>
      <c r="F65" s="7">
        <f t="shared" si="37"/>
        <v>2.7868389761562051</v>
      </c>
      <c r="G65" s="2"/>
      <c r="H65" s="6">
        <v>900</v>
      </c>
      <c r="I65" s="2"/>
      <c r="J65" s="7">
        <f t="shared" si="38"/>
        <v>8.0357142857142863E-2</v>
      </c>
      <c r="K65" s="2"/>
      <c r="L65" s="6">
        <f t="shared" si="39"/>
        <v>3553.09</v>
      </c>
      <c r="M65" s="2"/>
      <c r="N65" s="7">
        <f t="shared" si="40"/>
        <v>3.9478777777777778</v>
      </c>
      <c r="O65" s="11"/>
      <c r="P65" s="6">
        <v>10158.290000000001</v>
      </c>
      <c r="Q65" s="2"/>
      <c r="R65" s="7">
        <f t="shared" si="41"/>
        <v>0.13807106447196393</v>
      </c>
      <c r="S65" s="2"/>
      <c r="T65" s="6">
        <v>3450</v>
      </c>
      <c r="U65" s="2"/>
      <c r="V65" s="7">
        <f t="shared" si="42"/>
        <v>2.9135314534721693E-2</v>
      </c>
      <c r="W65" s="2"/>
      <c r="X65" s="6">
        <f t="shared" si="43"/>
        <v>6708.2900000000009</v>
      </c>
      <c r="Y65" s="2"/>
      <c r="Z65" s="7">
        <f t="shared" si="44"/>
        <v>1.9444318840579713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2362.06</v>
      </c>
      <c r="E66" s="1"/>
      <c r="F66" s="5">
        <f t="shared" si="37"/>
        <v>1.4782276738218911</v>
      </c>
      <c r="G66" s="1"/>
      <c r="H66" s="1">
        <f>SUM(OSRRefH22_9x_0)</f>
        <v>1300</v>
      </c>
      <c r="I66" s="1"/>
      <c r="J66" s="5">
        <f t="shared" si="38"/>
        <v>0.11607142857142858</v>
      </c>
      <c r="K66" s="1"/>
      <c r="L66" s="1">
        <f t="shared" si="39"/>
        <v>1062.06</v>
      </c>
      <c r="M66" s="1"/>
      <c r="N66" s="5">
        <f t="shared" si="40"/>
        <v>0.81696923076923078</v>
      </c>
      <c r="O66" s="14"/>
      <c r="P66" s="1">
        <f>SUM(OSRRefP22_9x_0)</f>
        <v>23873.61</v>
      </c>
      <c r="Q66" s="1"/>
      <c r="R66" s="5">
        <f t="shared" si="41"/>
        <v>0.32448913601487284</v>
      </c>
      <c r="S66" s="1"/>
      <c r="T66" s="1">
        <f>SUM(OSRRefT22_9x_0)</f>
        <v>6650</v>
      </c>
      <c r="U66" s="1"/>
      <c r="V66" s="5">
        <f t="shared" si="42"/>
        <v>5.6159374393014279E-2</v>
      </c>
      <c r="W66" s="1"/>
      <c r="X66" s="1">
        <f t="shared" si="43"/>
        <v>17223.61</v>
      </c>
      <c r="Y66" s="1"/>
      <c r="Z66" s="5">
        <f t="shared" si="44"/>
        <v>2.5900165413533833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310.91000000000003</v>
      </c>
      <c r="Q67" s="2"/>
      <c r="R67" s="7">
        <f t="shared" si="41"/>
        <v>4.2258760731361585E-3</v>
      </c>
      <c r="S67" s="2"/>
      <c r="T67" s="6"/>
      <c r="U67" s="2"/>
      <c r="V67" s="7">
        <f t="shared" si="42"/>
        <v>0</v>
      </c>
      <c r="W67" s="2"/>
      <c r="X67" s="6">
        <f t="shared" si="43"/>
        <v>310.91000000000003</v>
      </c>
      <c r="Y67" s="2"/>
      <c r="Z67" s="7">
        <f t="shared" si="44"/>
        <v>0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4596.8599999999997</v>
      </c>
      <c r="Q68" s="2"/>
      <c r="R68" s="7">
        <f t="shared" si="41"/>
        <v>6.2480334133854426E-2</v>
      </c>
      <c r="S68" s="2"/>
      <c r="T68" s="6"/>
      <c r="U68" s="2"/>
      <c r="V68" s="7">
        <f t="shared" si="42"/>
        <v>0</v>
      </c>
      <c r="W68" s="2"/>
      <c r="X68" s="6">
        <f t="shared" si="43"/>
        <v>4596.8599999999997</v>
      </c>
      <c r="Y68" s="2"/>
      <c r="Z68" s="7">
        <f t="shared" si="44"/>
        <v>0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6">
        <v>1108.5999999999999</v>
      </c>
      <c r="E69" s="2"/>
      <c r="F69" s="7">
        <f t="shared" si="37"/>
        <v>0.69378559359158887</v>
      </c>
      <c r="G69" s="2"/>
      <c r="H69" s="6">
        <v>1000</v>
      </c>
      <c r="I69" s="2"/>
      <c r="J69" s="7">
        <f t="shared" si="38"/>
        <v>8.9285714285714288E-2</v>
      </c>
      <c r="K69" s="2"/>
      <c r="L69" s="6">
        <f t="shared" si="39"/>
        <v>108.59999999999991</v>
      </c>
      <c r="M69" s="2"/>
      <c r="N69" s="7">
        <f t="shared" si="40"/>
        <v>0.1085999999999999</v>
      </c>
      <c r="O69" s="11"/>
      <c r="P69" s="6">
        <v>4682.3</v>
      </c>
      <c r="Q69" s="2"/>
      <c r="R69" s="7">
        <f t="shared" si="41"/>
        <v>6.3641631138417656E-2</v>
      </c>
      <c r="S69" s="2"/>
      <c r="T69" s="6">
        <v>5100</v>
      </c>
      <c r="U69" s="2"/>
      <c r="V69" s="7">
        <f t="shared" si="42"/>
        <v>4.3069595399153809E-2</v>
      </c>
      <c r="W69" s="2"/>
      <c r="X69" s="6">
        <f t="shared" si="43"/>
        <v>-417.69999999999982</v>
      </c>
      <c r="Y69" s="2"/>
      <c r="Z69" s="7">
        <f t="shared" si="44"/>
        <v>-8.1901960784313693E-2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6">
        <v>93.72</v>
      </c>
      <c r="E70" s="2"/>
      <c r="F70" s="7">
        <f t="shared" si="37"/>
        <v>5.8651980724701167E-2</v>
      </c>
      <c r="G70" s="2"/>
      <c r="H70" s="6">
        <v>200</v>
      </c>
      <c r="I70" s="2"/>
      <c r="J70" s="7">
        <f t="shared" si="38"/>
        <v>1.7857142857142856E-2</v>
      </c>
      <c r="K70" s="2"/>
      <c r="L70" s="6">
        <f t="shared" si="39"/>
        <v>-106.28</v>
      </c>
      <c r="M70" s="2"/>
      <c r="N70" s="7">
        <f t="shared" si="40"/>
        <v>-0.53139999999999998</v>
      </c>
      <c r="O70" s="11"/>
      <c r="P70" s="6">
        <v>439.61</v>
      </c>
      <c r="Q70" s="2"/>
      <c r="R70" s="7">
        <f t="shared" si="41"/>
        <v>5.9751612380154594E-3</v>
      </c>
      <c r="S70" s="2"/>
      <c r="T70" s="6">
        <v>1100</v>
      </c>
      <c r="U70" s="2"/>
      <c r="V70" s="7">
        <f t="shared" si="42"/>
        <v>9.2895205762880771E-3</v>
      </c>
      <c r="W70" s="2"/>
      <c r="X70" s="6">
        <f t="shared" si="43"/>
        <v>-660.39</v>
      </c>
      <c r="Y70" s="2"/>
      <c r="Z70" s="7">
        <f t="shared" si="44"/>
        <v>-0.60035454545454547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6">
        <v>1159.74</v>
      </c>
      <c r="E71" s="2"/>
      <c r="F71" s="7">
        <f t="shared" si="37"/>
        <v>0.72579009950560103</v>
      </c>
      <c r="G71" s="2"/>
      <c r="H71" s="6">
        <v>100</v>
      </c>
      <c r="I71" s="2"/>
      <c r="J71" s="7">
        <f t="shared" si="38"/>
        <v>8.9285714285714281E-3</v>
      </c>
      <c r="K71" s="2"/>
      <c r="L71" s="6">
        <f t="shared" si="39"/>
        <v>1059.74</v>
      </c>
      <c r="M71" s="2"/>
      <c r="N71" s="7">
        <f t="shared" si="40"/>
        <v>10.5974</v>
      </c>
      <c r="O71" s="11"/>
      <c r="P71" s="6">
        <v>13843.93</v>
      </c>
      <c r="Q71" s="2"/>
      <c r="R71" s="7">
        <f t="shared" si="41"/>
        <v>0.18816613343144914</v>
      </c>
      <c r="S71" s="2"/>
      <c r="T71" s="6">
        <v>450</v>
      </c>
      <c r="U71" s="2"/>
      <c r="V71" s="7">
        <f t="shared" si="42"/>
        <v>3.800258417572395E-3</v>
      </c>
      <c r="W71" s="2"/>
      <c r="X71" s="6">
        <f t="shared" si="43"/>
        <v>13393.93</v>
      </c>
      <c r="Y71" s="2"/>
      <c r="Z71" s="7">
        <f t="shared" si="44"/>
        <v>29.764288888888888</v>
      </c>
    </row>
    <row r="72" spans="1:26" s="29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214.55</v>
      </c>
      <c r="E72" s="1"/>
      <c r="F72" s="5">
        <f t="shared" ref="F72:F75" si="45">IF(D$12=0,0,D72/D$12)</f>
        <v>0.13426997934789411</v>
      </c>
      <c r="G72" s="1"/>
      <c r="H72" s="1">
        <f>SUM(OSRRefH22_10x_0)</f>
        <v>165</v>
      </c>
      <c r="I72" s="1"/>
      <c r="J72" s="5">
        <f t="shared" ref="J72:J75" si="46">IF(H$12=0,0,H72/H$12)</f>
        <v>1.4732142857142857E-2</v>
      </c>
      <c r="K72" s="1"/>
      <c r="L72" s="1">
        <f t="shared" ref="L72:L75" si="47">+D72-H72</f>
        <v>49.550000000000011</v>
      </c>
      <c r="M72" s="1"/>
      <c r="N72" s="5">
        <f t="shared" ref="N72:N75" si="48">IF(H72=0,0,L72/H72)</f>
        <v>0.30030303030303035</v>
      </c>
      <c r="O72" s="14"/>
      <c r="P72" s="1">
        <f>SUM(OSRRefP22_10x_0)</f>
        <v>1073.7</v>
      </c>
      <c r="Q72" s="1"/>
      <c r="R72" s="5">
        <f t="shared" ref="R72:R75" si="49">IF(P$12=0,0,P72/P$12)</f>
        <v>1.4593686725181864E-2</v>
      </c>
      <c r="S72" s="1"/>
      <c r="T72" s="1">
        <f>SUM(OSRRefT22_10x_0)</f>
        <v>825</v>
      </c>
      <c r="U72" s="1"/>
      <c r="V72" s="5">
        <f t="shared" ref="V72:V75" si="50">IF(T$12=0,0,T72/T$12)</f>
        <v>6.9671404322160574E-3</v>
      </c>
      <c r="W72" s="1"/>
      <c r="X72" s="1">
        <f t="shared" ref="X72:X75" si="51">+P72-T72</f>
        <v>248.70000000000005</v>
      </c>
      <c r="Y72" s="1"/>
      <c r="Z72" s="5">
        <f t="shared" ref="Z72:Z75" si="52">IF(T72=0,0,X72/T72)</f>
        <v>0.30145454545454553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6">
        <v>214.55</v>
      </c>
      <c r="E73" s="2"/>
      <c r="F73" s="7">
        <f t="shared" si="45"/>
        <v>0.13426997934789411</v>
      </c>
      <c r="G73" s="2"/>
      <c r="H73" s="6">
        <v>165</v>
      </c>
      <c r="I73" s="2"/>
      <c r="J73" s="7">
        <f t="shared" si="46"/>
        <v>1.4732142857142857E-2</v>
      </c>
      <c r="K73" s="2"/>
      <c r="L73" s="6">
        <f t="shared" si="47"/>
        <v>49.550000000000011</v>
      </c>
      <c r="M73" s="2"/>
      <c r="N73" s="7">
        <f t="shared" si="48"/>
        <v>0.30030303030303035</v>
      </c>
      <c r="O73" s="11"/>
      <c r="P73" s="6">
        <v>1073.7</v>
      </c>
      <c r="Q73" s="2"/>
      <c r="R73" s="7">
        <f t="shared" si="49"/>
        <v>1.4593686725181864E-2</v>
      </c>
      <c r="S73" s="2"/>
      <c r="T73" s="6">
        <v>825</v>
      </c>
      <c r="U73" s="2"/>
      <c r="V73" s="7">
        <f t="shared" si="50"/>
        <v>6.9671404322160574E-3</v>
      </c>
      <c r="W73" s="2"/>
      <c r="X73" s="6">
        <f t="shared" si="51"/>
        <v>248.70000000000005</v>
      </c>
      <c r="Y73" s="2"/>
      <c r="Z73" s="7">
        <f t="shared" si="52"/>
        <v>0.30145454545454553</v>
      </c>
    </row>
    <row r="74" spans="1:26" s="29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5"/>
        <v>0</v>
      </c>
      <c r="G74" s="1"/>
      <c r="H74" s="1">
        <f>SUM(OSRRefH22_11x_0)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4"/>
      <c r="P74" s="1">
        <f>SUM(OSRRefP22_11x_0)</f>
        <v>15.02</v>
      </c>
      <c r="Q74" s="1"/>
      <c r="R74" s="5">
        <f t="shared" si="49"/>
        <v>2.0415122903253384E-4</v>
      </c>
      <c r="S74" s="1"/>
      <c r="T74" s="1">
        <f>SUM(OSRRefT22_11x_0)</f>
        <v>0</v>
      </c>
      <c r="U74" s="1"/>
      <c r="V74" s="5">
        <f t="shared" si="50"/>
        <v>0</v>
      </c>
      <c r="W74" s="1"/>
      <c r="X74" s="1">
        <f t="shared" si="51"/>
        <v>15.02</v>
      </c>
      <c r="Y74" s="1"/>
      <c r="Z74" s="5">
        <f t="shared" si="52"/>
        <v>0</v>
      </c>
    </row>
    <row r="75" spans="1:26" s="24" customFormat="1" hidden="1" outlineLevel="2" x14ac:dyDescent="0.25">
      <c r="A75" s="28"/>
      <c r="B75" s="11" t="str">
        <f>CONCATENATE("          ", "6274", " - ", "UTILITIES")</f>
        <v xml:space="preserve">          6274 - UTILITIES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15.02</v>
      </c>
      <c r="Q75" s="2"/>
      <c r="R75" s="7">
        <f t="shared" si="49"/>
        <v>2.0415122903253384E-4</v>
      </c>
      <c r="S75" s="2"/>
      <c r="T75" s="6"/>
      <c r="U75" s="2"/>
      <c r="V75" s="7">
        <f t="shared" si="50"/>
        <v>0</v>
      </c>
      <c r="W75" s="2"/>
      <c r="X75" s="6">
        <f t="shared" si="51"/>
        <v>15.02</v>
      </c>
      <c r="Y75" s="2"/>
      <c r="Z75" s="7">
        <f t="shared" si="52"/>
        <v>0</v>
      </c>
    </row>
    <row r="76" spans="1:26" s="62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6782</v>
      </c>
      <c r="E77" s="4"/>
      <c r="F77" s="12">
        <f t="shared" ref="F77:F78" si="53">IF(D$12=0,0,D77/D$12)</f>
        <v>4.2443206708805308</v>
      </c>
      <c r="G77" s="4"/>
      <c r="H77" s="4">
        <f>SUM(OSRRefH25x_0)</f>
        <v>6875</v>
      </c>
      <c r="I77" s="4"/>
      <c r="J77" s="12">
        <f t="shared" ref="J77:J78" si="54">IF(H$12=0,0,H77/H$12)</f>
        <v>0.6138392857142857</v>
      </c>
      <c r="K77" s="4"/>
      <c r="L77" s="4">
        <f t="shared" ref="L77:L78" si="55">+D77-H77</f>
        <v>-93</v>
      </c>
      <c r="M77" s="4"/>
      <c r="N77" s="12">
        <f t="shared" ref="N77:N78" si="56">IF(H77=0,0,L77/H77)</f>
        <v>-1.3527272727272728E-2</v>
      </c>
      <c r="O77" s="10"/>
      <c r="P77" s="4">
        <f>SUM(OSRRefP25x_0)</f>
        <v>33910</v>
      </c>
      <c r="Q77" s="4"/>
      <c r="R77" s="12">
        <f t="shared" ref="R77:R78" si="57">IF(P$12=0,0,P77/P$12)</f>
        <v>0.46090334064535438</v>
      </c>
      <c r="S77" s="4"/>
      <c r="T77" s="4">
        <f>SUM(OSRRefT25x_0)</f>
        <v>34375</v>
      </c>
      <c r="U77" s="4"/>
      <c r="V77" s="12">
        <f t="shared" ref="V77:V78" si="58">IF(T$12=0,0,T77/T$12)</f>
        <v>0.29029751800900239</v>
      </c>
      <c r="W77" s="4"/>
      <c r="X77" s="4">
        <f t="shared" ref="X77:X78" si="59">+P77-T77</f>
        <v>-465</v>
      </c>
      <c r="Y77" s="4"/>
      <c r="Z77" s="12">
        <f t="shared" ref="Z77:Z78" si="60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3"/>
        <v>4.2443206708805308</v>
      </c>
      <c r="G78" s="2"/>
      <c r="H78" s="2">
        <v>6875</v>
      </c>
      <c r="I78" s="2"/>
      <c r="J78" s="22">
        <f t="shared" si="54"/>
        <v>0.6138392857142857</v>
      </c>
      <c r="K78" s="2"/>
      <c r="L78" s="2">
        <f t="shared" si="55"/>
        <v>-93</v>
      </c>
      <c r="M78" s="2"/>
      <c r="N78" s="22">
        <f t="shared" si="56"/>
        <v>-1.3527272727272728E-2</v>
      </c>
      <c r="O78" s="11"/>
      <c r="P78" s="2">
        <f>--33910</f>
        <v>33910</v>
      </c>
      <c r="Q78" s="2"/>
      <c r="R78" s="22">
        <f t="shared" si="57"/>
        <v>0.46090334064535438</v>
      </c>
      <c r="S78" s="2"/>
      <c r="T78" s="2">
        <v>34375</v>
      </c>
      <c r="U78" s="2"/>
      <c r="V78" s="22">
        <f t="shared" si="58"/>
        <v>0.29029751800900239</v>
      </c>
      <c r="W78" s="2"/>
      <c r="X78" s="2">
        <f t="shared" si="59"/>
        <v>-465</v>
      </c>
      <c r="Y78" s="2"/>
      <c r="Z78" s="22">
        <f t="shared" si="60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1">
        <f>+D26-D28+D77</f>
        <v>-30800.15</v>
      </c>
      <c r="E80" s="13"/>
      <c r="F80" s="20">
        <f>IF(D$12=0,0,D80/D$12)</f>
        <v>-19.275392702922584</v>
      </c>
      <c r="G80" s="13"/>
      <c r="H80" s="21">
        <f>+H26-H28+H77</f>
        <v>-8276.9686169923443</v>
      </c>
      <c r="I80" s="13"/>
      <c r="J80" s="20">
        <f>IF(H$12=0,0,H80/H$12)</f>
        <v>-0.73901505508860221</v>
      </c>
      <c r="K80" s="16"/>
      <c r="L80" s="21">
        <f>+D80-H80</f>
        <v>-22523.181383007657</v>
      </c>
      <c r="M80" s="16"/>
      <c r="N80" s="20">
        <f>IF(H80=0,0,L80/H80)</f>
        <v>2.7211872395853121</v>
      </c>
      <c r="O80" s="26"/>
      <c r="P80" s="21">
        <f>+P26-P28+P77</f>
        <v>-52702.8299999999</v>
      </c>
      <c r="Q80" s="13"/>
      <c r="R80" s="20">
        <f>IF(P$12=0,0,P80/P$12)</f>
        <v>-0.71633472157075062</v>
      </c>
      <c r="S80" s="13"/>
      <c r="T80" s="21">
        <f>+T26-T28+T77</f>
        <v>-10028.24772345784</v>
      </c>
      <c r="U80" s="13"/>
      <c r="V80" s="20">
        <f>IF(T$12=0,0,T80/T$12)</f>
        <v>-8.46887396101597E-2</v>
      </c>
      <c r="W80" s="16"/>
      <c r="X80" s="21">
        <f>+P80-T80</f>
        <v>-42674.58227654206</v>
      </c>
      <c r="Y80" s="16"/>
      <c r="Z80" s="20">
        <f>IF(T80=0,0,X80/T80)</f>
        <v>4.2554375852441986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-3900.6</v>
      </c>
      <c r="E82" s="4"/>
      <c r="F82" s="12">
        <f>IF(D$12=0,0,D82/D$12)</f>
        <v>-2.4410789160773514</v>
      </c>
      <c r="G82" s="4"/>
      <c r="H82" s="4">
        <v>3566</v>
      </c>
      <c r="I82" s="4"/>
      <c r="J82" s="12">
        <f>IF(H$12=0,0,H82/H$12)</f>
        <v>0.31839285714285714</v>
      </c>
      <c r="K82" s="4"/>
      <c r="L82" s="4">
        <f>+D82-H82</f>
        <v>-7466.6</v>
      </c>
      <c r="M82" s="4"/>
      <c r="N82" s="12">
        <f>IF(H82=0,0,L82/H82)</f>
        <v>-2.0938306225462706</v>
      </c>
      <c r="O82" s="10"/>
      <c r="P82" s="4">
        <v>11690.74</v>
      </c>
      <c r="Q82" s="4"/>
      <c r="R82" s="12">
        <f>IF(P$12=0,0,P82/P$12)</f>
        <v>0.15890006253660482</v>
      </c>
      <c r="S82" s="4"/>
      <c r="T82" s="4">
        <v>21118</v>
      </c>
      <c r="U82" s="4"/>
      <c r="V82" s="12">
        <f>IF(T$12=0,0,T82/T$12)</f>
        <v>0.17834190502731964</v>
      </c>
      <c r="W82" s="4"/>
      <c r="X82" s="4">
        <f>+P82-T82</f>
        <v>-9427.26</v>
      </c>
      <c r="Y82" s="4"/>
      <c r="Z82" s="12">
        <f>IF(T82=0,0,X82/T82)</f>
        <v>-0.44640875082867698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1">
        <f>+D80-D82</f>
        <v>-26899.550000000003</v>
      </c>
      <c r="E84" s="13"/>
      <c r="F84" s="34">
        <f>IF(D$12=0,0,D84/D$12)</f>
        <v>-16.834313786845236</v>
      </c>
      <c r="G84" s="13"/>
      <c r="H84" s="31">
        <f>+H80-H82</f>
        <v>-11842.968616992344</v>
      </c>
      <c r="I84" s="13"/>
      <c r="J84" s="34">
        <f>IF(H$12=0,0,H84/H$12)</f>
        <v>-1.0574079122314592</v>
      </c>
      <c r="K84" s="16"/>
      <c r="L84" s="31">
        <f>D84-H84</f>
        <v>-15056.581383007659</v>
      </c>
      <c r="M84" s="16"/>
      <c r="N84" s="34">
        <f>IF(H84=0,0,L84/H84)</f>
        <v>1.2713519616529598</v>
      </c>
      <c r="O84" s="26"/>
      <c r="P84" s="31">
        <f>+P80-P82</f>
        <v>-64393.569999999898</v>
      </c>
      <c r="Q84" s="13"/>
      <c r="R84" s="34">
        <f>IF(P$12=0,0,P84/P$12)</f>
        <v>-0.87523478410735545</v>
      </c>
      <c r="S84" s="13"/>
      <c r="T84" s="31">
        <f>+T80-T82</f>
        <v>-31146.24772345784</v>
      </c>
      <c r="U84" s="13"/>
      <c r="V84" s="34">
        <f>IF(T$12=0,0,T84/T$12)</f>
        <v>-0.26303064463747933</v>
      </c>
      <c r="W84" s="16"/>
      <c r="X84" s="31">
        <f>P84-T84</f>
        <v>-33247.322276542058</v>
      </c>
      <c r="Y84" s="16"/>
      <c r="Z84" s="34">
        <f>IF(T84=0,0,X84/T84)</f>
        <v>1.0674583523427701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3">
        <f>SUM(D84:D86)</f>
        <v>-26899.550000000003</v>
      </c>
      <c r="E87" s="13"/>
      <c r="F87" s="30">
        <f>IF(D$12=0,0,D87/D$12)</f>
        <v>-16.834313786845236</v>
      </c>
      <c r="G87" s="13"/>
      <c r="H87" s="33">
        <f>SUM(H84:H86)</f>
        <v>-11842.968616992344</v>
      </c>
      <c r="I87" s="13"/>
      <c r="J87" s="30">
        <f>IF(H$12=0,0,H87/H$12)</f>
        <v>-1.0574079122314592</v>
      </c>
      <c r="K87" s="16"/>
      <c r="L87" s="33">
        <f>+D87-H87</f>
        <v>-15056.581383007659</v>
      </c>
      <c r="M87" s="16"/>
      <c r="N87" s="30">
        <f>IF(H87=0,0,L87/H87)</f>
        <v>1.2713519616529598</v>
      </c>
      <c r="O87" s="26"/>
      <c r="P87" s="33">
        <f>SUM(P84:P86)</f>
        <v>-64393.569999999898</v>
      </c>
      <c r="Q87" s="13"/>
      <c r="R87" s="30">
        <f>IF(P$12=0,0,P87/P$12)</f>
        <v>-0.87523478410735545</v>
      </c>
      <c r="S87" s="13"/>
      <c r="T87" s="33">
        <f>SUM(T84:T86)</f>
        <v>-31146.24772345784</v>
      </c>
      <c r="U87" s="13"/>
      <c r="V87" s="30">
        <f>IF(T$12=0,0,T87/T$12)</f>
        <v>-0.26303064463747933</v>
      </c>
      <c r="W87" s="16"/>
      <c r="X87" s="33">
        <f>+P87-T87</f>
        <v>-33247.322276542058</v>
      </c>
      <c r="Y87" s="16"/>
      <c r="Z87" s="30">
        <f>IF(T87=0,0,X87/T87)</f>
        <v>1.0674583523427701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5">
        <v>44174.679160069441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7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1597.9</v>
      </c>
      <c r="E12" s="4"/>
      <c r="F12" s="12"/>
      <c r="G12" s="4"/>
      <c r="H12" s="4">
        <f>SUM(OSRRefH13x_0)</f>
        <v>11200</v>
      </c>
      <c r="I12" s="4"/>
      <c r="J12" s="12"/>
      <c r="K12" s="4"/>
      <c r="L12" s="4">
        <f t="shared" ref="L12:L22" si="0">+D12-H12</f>
        <v>-9602.1</v>
      </c>
      <c r="M12" s="4"/>
      <c r="N12" s="12">
        <f t="shared" ref="N12:N22" si="1">IF(H12=0,0,L12/H12)</f>
        <v>-0.85733035714285721</v>
      </c>
      <c r="O12" s="10"/>
      <c r="P12" s="4">
        <f>SUM(OSRRefP13x_0)</f>
        <v>73572.91</v>
      </c>
      <c r="Q12" s="4"/>
      <c r="R12" s="12"/>
      <c r="S12" s="4"/>
      <c r="T12" s="4">
        <f>SUM(OSRRefT13x_0)</f>
        <v>118413</v>
      </c>
      <c r="U12" s="4"/>
      <c r="V12" s="12"/>
      <c r="W12" s="4"/>
      <c r="X12" s="4">
        <f t="shared" ref="X12:X22" si="2">+P12-T12</f>
        <v>-44840.09</v>
      </c>
      <c r="Y12" s="4"/>
      <c r="Z12" s="12">
        <f t="shared" ref="Z12:Z22" si="3">IF(T12=0,0,X12/T12)</f>
        <v>-0.37867539881600837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8200</v>
      </c>
      <c r="I13" s="2"/>
      <c r="J13" s="22"/>
      <c r="K13" s="2"/>
      <c r="L13" s="2">
        <f t="shared" si="0"/>
        <v>-8200</v>
      </c>
      <c r="M13" s="2"/>
      <c r="N13" s="22">
        <f t="shared" si="1"/>
        <v>-1</v>
      </c>
      <c r="O13" s="11"/>
      <c r="P13" s="2">
        <f>-8.65</f>
        <v>-8.65</v>
      </c>
      <c r="Q13" s="2"/>
      <c r="R13" s="22"/>
      <c r="S13" s="2"/>
      <c r="T13" s="2">
        <v>106913</v>
      </c>
      <c r="U13" s="2"/>
      <c r="V13" s="22"/>
      <c r="W13" s="2"/>
      <c r="X13" s="2">
        <f t="shared" si="2"/>
        <v>-106921.65</v>
      </c>
      <c r="Y13" s="2"/>
      <c r="Z13" s="22">
        <f t="shared" si="3"/>
        <v>-1.0000809069056147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--323.05</f>
        <v>323.05</v>
      </c>
      <c r="E14" s="2"/>
      <c r="F14" s="22"/>
      <c r="G14" s="2"/>
      <c r="H14" s="2"/>
      <c r="I14" s="2"/>
      <c r="J14" s="22"/>
      <c r="K14" s="2"/>
      <c r="L14" s="2">
        <f t="shared" si="0"/>
        <v>323.05</v>
      </c>
      <c r="M14" s="2"/>
      <c r="N14" s="22">
        <f t="shared" si="1"/>
        <v>0</v>
      </c>
      <c r="O14" s="11"/>
      <c r="P14" s="2">
        <f>--60692.37</f>
        <v>60692.37</v>
      </c>
      <c r="Q14" s="2"/>
      <c r="R14" s="22"/>
      <c r="S14" s="2"/>
      <c r="T14" s="2"/>
      <c r="U14" s="2"/>
      <c r="V14" s="22"/>
      <c r="W14" s="2"/>
      <c r="X14" s="2">
        <f t="shared" si="2"/>
        <v>60692.37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--402.24</f>
        <v>402.24</v>
      </c>
      <c r="E15" s="2"/>
      <c r="F15" s="22"/>
      <c r="G15" s="2"/>
      <c r="H15" s="2"/>
      <c r="I15" s="2"/>
      <c r="J15" s="22"/>
      <c r="K15" s="2"/>
      <c r="L15" s="2">
        <f t="shared" si="0"/>
        <v>402.24</v>
      </c>
      <c r="M15" s="2"/>
      <c r="N15" s="22">
        <f t="shared" si="1"/>
        <v>0</v>
      </c>
      <c r="O15" s="11"/>
      <c r="P15" s="2">
        <f>--11889.82</f>
        <v>11889.82</v>
      </c>
      <c r="Q15" s="2"/>
      <c r="R15" s="22"/>
      <c r="S15" s="2"/>
      <c r="T15" s="2"/>
      <c r="U15" s="2"/>
      <c r="V15" s="22"/>
      <c r="W15" s="2"/>
      <c r="X15" s="2">
        <f t="shared" si="2"/>
        <v>11889.82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8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11500</v>
      </c>
      <c r="U17" s="2"/>
      <c r="V17" s="22"/>
      <c r="W17" s="2"/>
      <c r="X17" s="2">
        <f t="shared" si="2"/>
        <v>-11500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--511.5</f>
        <v>511.5</v>
      </c>
      <c r="Q18" s="2"/>
      <c r="R18" s="22"/>
      <c r="S18" s="2"/>
      <c r="T18" s="2"/>
      <c r="U18" s="2"/>
      <c r="V18" s="22"/>
      <c r="W18" s="2"/>
      <c r="X18" s="2">
        <f t="shared" si="2"/>
        <v>511.5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--859.61</f>
        <v>859.61</v>
      </c>
      <c r="E19" s="2"/>
      <c r="F19" s="22"/>
      <c r="G19" s="2"/>
      <c r="H19" s="2"/>
      <c r="I19" s="2"/>
      <c r="J19" s="22"/>
      <c r="K19" s="2"/>
      <c r="L19" s="2">
        <f t="shared" si="0"/>
        <v>859.61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--21.5</f>
        <v>21.5</v>
      </c>
      <c r="E20" s="2"/>
      <c r="F20" s="22"/>
      <c r="G20" s="2"/>
      <c r="H20" s="2"/>
      <c r="I20" s="2"/>
      <c r="J20" s="22"/>
      <c r="K20" s="2"/>
      <c r="L20" s="2">
        <f t="shared" si="0"/>
        <v>21.5</v>
      </c>
      <c r="M20" s="2"/>
      <c r="N20" s="22">
        <f t="shared" si="1"/>
        <v>0</v>
      </c>
      <c r="O20" s="11"/>
      <c r="P20" s="2">
        <f>--108</f>
        <v>108</v>
      </c>
      <c r="Q20" s="2"/>
      <c r="R20" s="22"/>
      <c r="S20" s="2"/>
      <c r="T20" s="2"/>
      <c r="U20" s="2"/>
      <c r="V20" s="22"/>
      <c r="W20" s="2"/>
      <c r="X20" s="2">
        <f t="shared" si="2"/>
        <v>108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--5</f>
        <v>5</v>
      </c>
      <c r="E21" s="2"/>
      <c r="F21" s="22"/>
      <c r="G21" s="2"/>
      <c r="H21" s="2"/>
      <c r="I21" s="2"/>
      <c r="J21" s="22"/>
      <c r="K21" s="2"/>
      <c r="L21" s="2">
        <f t="shared" si="0"/>
        <v>5</v>
      </c>
      <c r="M21" s="2"/>
      <c r="N21" s="22">
        <f t="shared" si="1"/>
        <v>0</v>
      </c>
      <c r="O21" s="11"/>
      <c r="P21" s="2">
        <f>--91.5</f>
        <v>91.5</v>
      </c>
      <c r="Q21" s="2"/>
      <c r="R21" s="22"/>
      <c r="S21" s="2"/>
      <c r="T21" s="2"/>
      <c r="U21" s="2"/>
      <c r="V21" s="22"/>
      <c r="W21" s="2"/>
      <c r="X21" s="2">
        <f t="shared" si="2"/>
        <v>91.5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-13.5</f>
        <v>-13.5</v>
      </c>
      <c r="E22" s="2"/>
      <c r="F22" s="22"/>
      <c r="G22" s="2"/>
      <c r="H22" s="2"/>
      <c r="I22" s="2"/>
      <c r="J22" s="22"/>
      <c r="K22" s="2"/>
      <c r="L22" s="2">
        <f t="shared" si="0"/>
        <v>-13.5</v>
      </c>
      <c r="M22" s="2"/>
      <c r="N22" s="22">
        <f t="shared" si="1"/>
        <v>0</v>
      </c>
      <c r="O22" s="11"/>
      <c r="P22" s="2">
        <f>-830.2</f>
        <v>-830.2</v>
      </c>
      <c r="Q22" s="2"/>
      <c r="R22" s="22"/>
      <c r="S22" s="2"/>
      <c r="T22" s="2"/>
      <c r="U22" s="2"/>
      <c r="V22" s="22"/>
      <c r="W22" s="2"/>
      <c r="X22" s="2">
        <f t="shared" si="2"/>
        <v>-830.2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D12-D24</f>
        <v>1597.9</v>
      </c>
      <c r="E26" s="13"/>
      <c r="F26" s="20">
        <f>IF(D$12=0,0,D26/D$12)</f>
        <v>1</v>
      </c>
      <c r="G26" s="13"/>
      <c r="H26" s="21">
        <f>H12-H24</f>
        <v>11200</v>
      </c>
      <c r="I26" s="13"/>
      <c r="J26" s="20">
        <f>IF(H$12=0,0,H26/H$12)</f>
        <v>1</v>
      </c>
      <c r="K26" s="16"/>
      <c r="L26" s="21">
        <f>+D26-H26</f>
        <v>-9602.1</v>
      </c>
      <c r="M26" s="16"/>
      <c r="N26" s="20">
        <f>IF(H26=0,0,L26/H26)</f>
        <v>-0.85733035714285721</v>
      </c>
      <c r="O26" s="26"/>
      <c r="P26" s="21">
        <f>P12-P24</f>
        <v>73572.91</v>
      </c>
      <c r="Q26" s="13"/>
      <c r="R26" s="20">
        <f>IF(P$12=0,0,P26/P$12)</f>
        <v>1</v>
      </c>
      <c r="S26" s="13"/>
      <c r="T26" s="21">
        <f>T12-T24</f>
        <v>118413</v>
      </c>
      <c r="U26" s="13"/>
      <c r="V26" s="20">
        <f>IF(T$12=0,0,T26/T$12)</f>
        <v>1</v>
      </c>
      <c r="W26" s="16"/>
      <c r="X26" s="21">
        <f>+P26-T26</f>
        <v>-44840.09</v>
      </c>
      <c r="Y26" s="16"/>
      <c r="Z26" s="20">
        <f>IF(T26=0,0,X26/T26)</f>
        <v>-0.37867539881600837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19">
        <f>SUM(OSRRefD22x_0)</f>
        <v>39180.050000000003</v>
      </c>
      <c r="E28" s="19"/>
      <c r="F28" s="35">
        <f t="shared" ref="F28:F38" si="5">IF(D$12=0,0,D28/D$12)</f>
        <v>24.519713373803118</v>
      </c>
      <c r="G28" s="19"/>
      <c r="H28" s="19">
        <f>SUM(OSRRefH22x_0)</f>
        <v>26351.968616992344</v>
      </c>
      <c r="I28" s="19"/>
      <c r="J28" s="35">
        <f t="shared" ref="J28:J38" si="6">IF(H$12=0,0,H28/H$12)</f>
        <v>2.3528543408028879</v>
      </c>
      <c r="K28" s="4"/>
      <c r="L28" s="19">
        <f t="shared" ref="L28:L38" si="7">+D28-H28</f>
        <v>12828.081383007659</v>
      </c>
      <c r="M28" s="4"/>
      <c r="N28" s="35">
        <f t="shared" ref="N28:N38" si="8">IF(H28=0,0,L28/H28)</f>
        <v>0.48679783926032083</v>
      </c>
      <c r="O28" s="10"/>
      <c r="P28" s="19">
        <f>SUM(OSRRefP22x_0)</f>
        <v>160185.7399999999</v>
      </c>
      <c r="Q28" s="19"/>
      <c r="R28" s="35">
        <f t="shared" ref="R28:R38" si="9">IF(P$12=0,0,P28/P$12)</f>
        <v>2.1772380622161052</v>
      </c>
      <c r="S28" s="19"/>
      <c r="T28" s="19">
        <f>SUM(OSRRefT22x_0)</f>
        <v>162816.24772345784</v>
      </c>
      <c r="U28" s="19"/>
      <c r="V28" s="35">
        <f t="shared" ref="V28:V38" si="10">IF(T$12=0,0,T28/T$12)</f>
        <v>1.374986257619162</v>
      </c>
      <c r="W28" s="4"/>
      <c r="X28" s="19">
        <f t="shared" ref="X28:X38" si="11">+P28-T28</f>
        <v>-2630.5077234579367</v>
      </c>
      <c r="Y28" s="4"/>
      <c r="Z28" s="35">
        <f t="shared" ref="Z28:Z38" si="12">IF(T28=0,0,X28/T28)</f>
        <v>-1.6156297422637047E-2</v>
      </c>
    </row>
    <row r="29" spans="1:26" s="29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9539.5300000000007</v>
      </c>
      <c r="E29" s="1"/>
      <c r="F29" s="5">
        <f t="shared" si="5"/>
        <v>5.9700419300331689</v>
      </c>
      <c r="G29" s="1"/>
      <c r="H29" s="1">
        <f>SUM(OSRRefH22_0x_0)</f>
        <v>6413.4600554538438</v>
      </c>
      <c r="I29" s="1"/>
      <c r="J29" s="5">
        <f t="shared" si="6"/>
        <v>0.57263036209409324</v>
      </c>
      <c r="K29" s="1"/>
      <c r="L29" s="1">
        <f t="shared" si="7"/>
        <v>3126.0699445461569</v>
      </c>
      <c r="M29" s="1"/>
      <c r="N29" s="5">
        <f t="shared" si="8"/>
        <v>0.48742331245796505</v>
      </c>
      <c r="O29" s="14"/>
      <c r="P29" s="1">
        <f>SUM(OSRRefP22_0x_0)</f>
        <v>45812.57</v>
      </c>
      <c r="Q29" s="1"/>
      <c r="R29" s="5">
        <f t="shared" si="9"/>
        <v>0.62268258792536546</v>
      </c>
      <c r="S29" s="1"/>
      <c r="T29" s="1">
        <f>SUM(OSRRefT22_0x_0)</f>
        <v>33914.950634996138</v>
      </c>
      <c r="U29" s="1"/>
      <c r="V29" s="5">
        <f t="shared" si="10"/>
        <v>0.28641239251599182</v>
      </c>
      <c r="W29" s="1"/>
      <c r="X29" s="1">
        <f t="shared" si="11"/>
        <v>11897.619365003862</v>
      </c>
      <c r="Y29" s="1"/>
      <c r="Z29" s="5">
        <f t="shared" si="12"/>
        <v>0.35080750943883005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6">
        <v>1062.21</v>
      </c>
      <c r="E30" s="2"/>
      <c r="F30" s="7">
        <f t="shared" si="5"/>
        <v>0.66475373928280868</v>
      </c>
      <c r="G30" s="2"/>
      <c r="H30" s="6">
        <v>1059.48385137692</v>
      </c>
      <c r="I30" s="2"/>
      <c r="J30" s="7">
        <f t="shared" si="6"/>
        <v>9.4596772444367858E-2</v>
      </c>
      <c r="K30" s="2"/>
      <c r="L30" s="6">
        <f t="shared" si="7"/>
        <v>2.7261486230800074</v>
      </c>
      <c r="M30" s="2"/>
      <c r="N30" s="7">
        <f t="shared" si="8"/>
        <v>2.5730912458335883E-3</v>
      </c>
      <c r="O30" s="11"/>
      <c r="P30" s="6">
        <v>6620.47</v>
      </c>
      <c r="Q30" s="2"/>
      <c r="R30" s="7">
        <f t="shared" si="9"/>
        <v>8.9985158939615131E-2</v>
      </c>
      <c r="S30" s="2"/>
      <c r="T30" s="6">
        <v>5822.2632625730603</v>
      </c>
      <c r="U30" s="2"/>
      <c r="V30" s="7">
        <f t="shared" si="10"/>
        <v>4.9169122162035082E-2</v>
      </c>
      <c r="W30" s="2"/>
      <c r="X30" s="6">
        <f t="shared" si="11"/>
        <v>798.20673742693998</v>
      </c>
      <c r="Y30" s="2"/>
      <c r="Z30" s="7">
        <f t="shared" si="12"/>
        <v>0.13709561066364159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6">
        <v>556.65</v>
      </c>
      <c r="E31" s="2"/>
      <c r="F31" s="7">
        <f t="shared" si="5"/>
        <v>0.34836347706364601</v>
      </c>
      <c r="G31" s="2"/>
      <c r="H31" s="6">
        <v>273.91161192307703</v>
      </c>
      <c r="I31" s="2"/>
      <c r="J31" s="7">
        <f t="shared" si="6"/>
        <v>2.4456393921703307E-2</v>
      </c>
      <c r="K31" s="2"/>
      <c r="L31" s="6">
        <f t="shared" si="7"/>
        <v>282.73838807692294</v>
      </c>
      <c r="M31" s="2"/>
      <c r="N31" s="7">
        <f t="shared" si="8"/>
        <v>1.032224906756873</v>
      </c>
      <c r="O31" s="11"/>
      <c r="P31" s="6">
        <v>1787.3</v>
      </c>
      <c r="Q31" s="2"/>
      <c r="R31" s="7">
        <f t="shared" si="9"/>
        <v>2.429290889812568E-2</v>
      </c>
      <c r="S31" s="2"/>
      <c r="T31" s="6">
        <v>1502.5641155769229</v>
      </c>
      <c r="U31" s="2"/>
      <c r="V31" s="7">
        <f t="shared" si="10"/>
        <v>1.2689182062585382E-2</v>
      </c>
      <c r="W31" s="2"/>
      <c r="X31" s="6">
        <f t="shared" si="11"/>
        <v>284.7358844230771</v>
      </c>
      <c r="Y31" s="2"/>
      <c r="Z31" s="7">
        <f t="shared" si="12"/>
        <v>0.18949998969844306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6">
        <v>3423.78</v>
      </c>
      <c r="E32" s="2"/>
      <c r="F32" s="7">
        <f t="shared" si="5"/>
        <v>2.1426747606233181</v>
      </c>
      <c r="G32" s="2"/>
      <c r="H32" s="6">
        <v>2645</v>
      </c>
      <c r="I32" s="2"/>
      <c r="J32" s="7">
        <f t="shared" si="6"/>
        <v>0.23616071428571428</v>
      </c>
      <c r="K32" s="2"/>
      <c r="L32" s="6">
        <f t="shared" si="7"/>
        <v>778.7800000000002</v>
      </c>
      <c r="M32" s="2"/>
      <c r="N32" s="7">
        <f t="shared" si="8"/>
        <v>0.29443478260869571</v>
      </c>
      <c r="O32" s="11"/>
      <c r="P32" s="6">
        <v>16317.550000000001</v>
      </c>
      <c r="Q32" s="2"/>
      <c r="R32" s="7">
        <f t="shared" si="9"/>
        <v>0.22178747585218528</v>
      </c>
      <c r="S32" s="2"/>
      <c r="T32" s="6">
        <v>13225</v>
      </c>
      <c r="U32" s="2"/>
      <c r="V32" s="7">
        <f t="shared" si="10"/>
        <v>0.11168537238309983</v>
      </c>
      <c r="W32" s="2"/>
      <c r="X32" s="6">
        <f t="shared" si="11"/>
        <v>3092.5500000000011</v>
      </c>
      <c r="Y32" s="2"/>
      <c r="Z32" s="7">
        <f t="shared" si="12"/>
        <v>0.23384120982986775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6">
        <v>78.23</v>
      </c>
      <c r="E33" s="2"/>
      <c r="F33" s="7">
        <f t="shared" si="5"/>
        <v>4.8958007384692408E-2</v>
      </c>
      <c r="G33" s="2"/>
      <c r="H33" s="6">
        <v>42.788285999999999</v>
      </c>
      <c r="I33" s="2"/>
      <c r="J33" s="7">
        <f t="shared" si="6"/>
        <v>3.8203826785714284E-3</v>
      </c>
      <c r="K33" s="2"/>
      <c r="L33" s="6">
        <f t="shared" si="7"/>
        <v>35.441714000000005</v>
      </c>
      <c r="M33" s="2"/>
      <c r="N33" s="7">
        <f t="shared" si="8"/>
        <v>0.82830412977981882</v>
      </c>
      <c r="O33" s="11"/>
      <c r="P33" s="6">
        <v>251.18</v>
      </c>
      <c r="Q33" s="2"/>
      <c r="R33" s="7">
        <f t="shared" si="9"/>
        <v>3.4140283427690978E-3</v>
      </c>
      <c r="S33" s="2"/>
      <c r="T33" s="6">
        <v>228.00357299999999</v>
      </c>
      <c r="U33" s="2"/>
      <c r="V33" s="7">
        <f t="shared" si="10"/>
        <v>1.9254944389551821E-3</v>
      </c>
      <c r="W33" s="2"/>
      <c r="X33" s="6">
        <f t="shared" si="11"/>
        <v>23.176427000000018</v>
      </c>
      <c r="Y33" s="2"/>
      <c r="Z33" s="7">
        <f t="shared" si="12"/>
        <v>0.1016494026608961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6">
        <v>2180.81</v>
      </c>
      <c r="E34" s="2"/>
      <c r="F34" s="7">
        <f t="shared" si="5"/>
        <v>1.3647975467801488</v>
      </c>
      <c r="G34" s="2"/>
      <c r="H34" s="6">
        <v>991.92684461538511</v>
      </c>
      <c r="I34" s="2"/>
      <c r="J34" s="7">
        <f t="shared" si="6"/>
        <v>8.856489684065938E-2</v>
      </c>
      <c r="K34" s="2"/>
      <c r="L34" s="6">
        <f t="shared" si="7"/>
        <v>1188.8831553846148</v>
      </c>
      <c r="M34" s="2"/>
      <c r="N34" s="7">
        <f t="shared" si="8"/>
        <v>1.1985593109395065</v>
      </c>
      <c r="O34" s="11"/>
      <c r="P34" s="6">
        <v>8679.08</v>
      </c>
      <c r="Q34" s="2"/>
      <c r="R34" s="7">
        <f t="shared" si="9"/>
        <v>0.11796570232168334</v>
      </c>
      <c r="S34" s="2"/>
      <c r="T34" s="6">
        <v>5455.5976453846151</v>
      </c>
      <c r="U34" s="2"/>
      <c r="V34" s="7">
        <f t="shared" si="10"/>
        <v>4.6072624166135605E-2</v>
      </c>
      <c r="W34" s="2"/>
      <c r="X34" s="6">
        <f t="shared" si="11"/>
        <v>3223.4823546153848</v>
      </c>
      <c r="Y34" s="2"/>
      <c r="Z34" s="7">
        <f t="shared" si="12"/>
        <v>0.59085778756841079</v>
      </c>
    </row>
    <row r="35" spans="1:26" s="24" customFormat="1" hidden="1" outlineLevel="2" x14ac:dyDescent="0.25">
      <c r="A35" s="28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5"/>
        <v>0</v>
      </c>
      <c r="G35" s="2"/>
      <c r="H35" s="6">
        <v>0</v>
      </c>
      <c r="I35" s="2"/>
      <c r="J35" s="7">
        <f t="shared" si="6"/>
        <v>0</v>
      </c>
      <c r="K35" s="2"/>
      <c r="L35" s="6">
        <f t="shared" si="7"/>
        <v>0</v>
      </c>
      <c r="M35" s="2"/>
      <c r="N35" s="7">
        <f t="shared" si="8"/>
        <v>0</v>
      </c>
      <c r="O35" s="11"/>
      <c r="P35" s="6"/>
      <c r="Q35" s="2"/>
      <c r="R35" s="7">
        <f t="shared" si="9"/>
        <v>0</v>
      </c>
      <c r="S35" s="2"/>
      <c r="T35" s="6">
        <v>0</v>
      </c>
      <c r="U35" s="2"/>
      <c r="V35" s="7">
        <f t="shared" si="10"/>
        <v>0</v>
      </c>
      <c r="W35" s="2"/>
      <c r="X35" s="6">
        <f t="shared" si="11"/>
        <v>0</v>
      </c>
      <c r="Y35" s="2"/>
      <c r="Z35" s="7">
        <f t="shared" si="12"/>
        <v>0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5"/>
        <v>0.76106139307841536</v>
      </c>
      <c r="G36" s="2"/>
      <c r="H36" s="6">
        <v>956.61308461538511</v>
      </c>
      <c r="I36" s="2"/>
      <c r="J36" s="7">
        <f t="shared" si="6"/>
        <v>8.5411882554945098E-2</v>
      </c>
      <c r="K36" s="2"/>
      <c r="L36" s="6">
        <f t="shared" si="7"/>
        <v>259.4869153846148</v>
      </c>
      <c r="M36" s="2"/>
      <c r="N36" s="7">
        <f t="shared" si="8"/>
        <v>0.27125587090306613</v>
      </c>
      <c r="O36" s="11"/>
      <c r="P36" s="6">
        <v>6451.33</v>
      </c>
      <c r="Q36" s="2"/>
      <c r="R36" s="7">
        <f t="shared" si="9"/>
        <v>8.7686214939710821E-2</v>
      </c>
      <c r="S36" s="2"/>
      <c r="T36" s="6">
        <v>5261.3719653846156</v>
      </c>
      <c r="U36" s="2"/>
      <c r="V36" s="7">
        <f t="shared" si="10"/>
        <v>4.4432384665405111E-2</v>
      </c>
      <c r="W36" s="2"/>
      <c r="X36" s="6">
        <f t="shared" si="11"/>
        <v>1189.9580346153843</v>
      </c>
      <c r="Y36" s="2"/>
      <c r="Z36" s="7">
        <f t="shared" si="12"/>
        <v>0.2261687716520146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5"/>
        <v>0.46216909693973335</v>
      </c>
      <c r="G37" s="2"/>
      <c r="H37" s="6">
        <v>443.73637692307705</v>
      </c>
      <c r="I37" s="2"/>
      <c r="J37" s="7">
        <f t="shared" si="6"/>
        <v>3.9619319368131879E-2</v>
      </c>
      <c r="K37" s="2"/>
      <c r="L37" s="6">
        <f t="shared" si="7"/>
        <v>294.76362307692295</v>
      </c>
      <c r="M37" s="2"/>
      <c r="N37" s="7">
        <f t="shared" si="8"/>
        <v>0.66427644521923224</v>
      </c>
      <c r="O37" s="11"/>
      <c r="P37" s="6">
        <v>3955.77</v>
      </c>
      <c r="Q37" s="2"/>
      <c r="R37" s="7">
        <f t="shared" si="9"/>
        <v>5.3766664931426525E-2</v>
      </c>
      <c r="S37" s="2"/>
      <c r="T37" s="6">
        <v>2420.1500730769226</v>
      </c>
      <c r="U37" s="2"/>
      <c r="V37" s="7">
        <f t="shared" si="10"/>
        <v>2.0438212637775604E-2</v>
      </c>
      <c r="W37" s="2"/>
      <c r="X37" s="6">
        <f t="shared" si="11"/>
        <v>1535.6199269230774</v>
      </c>
      <c r="Y37" s="2"/>
      <c r="Z37" s="7">
        <f t="shared" si="12"/>
        <v>0.63451434024945652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6">
        <v>283.25</v>
      </c>
      <c r="E38" s="2"/>
      <c r="F38" s="7">
        <f t="shared" si="5"/>
        <v>0.17726390888040552</v>
      </c>
      <c r="G38" s="2"/>
      <c r="H38" s="6"/>
      <c r="I38" s="2"/>
      <c r="J38" s="7">
        <f t="shared" si="6"/>
        <v>0</v>
      </c>
      <c r="K38" s="2"/>
      <c r="L38" s="6">
        <f t="shared" si="7"/>
        <v>283.25</v>
      </c>
      <c r="M38" s="2"/>
      <c r="N38" s="7">
        <f t="shared" si="8"/>
        <v>0</v>
      </c>
      <c r="O38" s="11"/>
      <c r="P38" s="6">
        <v>1749.89</v>
      </c>
      <c r="Q38" s="2"/>
      <c r="R38" s="7">
        <f t="shared" si="9"/>
        <v>2.3784433699849578E-2</v>
      </c>
      <c r="S38" s="2"/>
      <c r="T38" s="6"/>
      <c r="U38" s="2"/>
      <c r="V38" s="7">
        <f t="shared" si="10"/>
        <v>0</v>
      </c>
      <c r="W38" s="2"/>
      <c r="X38" s="6">
        <f t="shared" si="11"/>
        <v>1749.89</v>
      </c>
      <c r="Y38" s="2"/>
      <c r="Z38" s="7">
        <f t="shared" si="12"/>
        <v>0</v>
      </c>
    </row>
    <row r="39" spans="1:26" s="29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12527.39</v>
      </c>
      <c r="E39" s="1"/>
      <c r="F39" s="5">
        <f t="shared" ref="F39:F49" si="13">IF(D$12=0,0,D39/D$12)</f>
        <v>7.8399086300769749</v>
      </c>
      <c r="G39" s="1"/>
      <c r="H39" s="1">
        <f>SUM(OSRRefH22_1x_0)</f>
        <v>10197.5085615385</v>
      </c>
      <c r="I39" s="1"/>
      <c r="J39" s="5">
        <f t="shared" ref="J39:J49" si="14">IF(H$12=0,0,H39/H$12)</f>
        <v>0.91049183585165172</v>
      </c>
      <c r="K39" s="1"/>
      <c r="L39" s="1">
        <f t="shared" ref="L39:L49" si="15">+D39-H39</f>
        <v>2329.8814384614998</v>
      </c>
      <c r="M39" s="1"/>
      <c r="N39" s="5">
        <f t="shared" ref="N39:N49" si="16">IF(H39=0,0,L39/H39)</f>
        <v>0.22847555600482775</v>
      </c>
      <c r="O39" s="14"/>
      <c r="P39" s="1">
        <f>SUM(OSRRefP22_1x_0)</f>
        <v>72695.44</v>
      </c>
      <c r="Q39" s="1"/>
      <c r="R39" s="5">
        <f t="shared" ref="R39:R49" si="17">IF(P$12=0,0,P39/P$12)</f>
        <v>0.98807346345278446</v>
      </c>
      <c r="S39" s="1"/>
      <c r="T39" s="1">
        <f>SUM(OSRRefT22_1x_0)</f>
        <v>56086.297088461703</v>
      </c>
      <c r="U39" s="1"/>
      <c r="V39" s="5">
        <f t="shared" ref="V39:V49" si="18">IF(T$12=0,0,T39/T$12)</f>
        <v>0.47364982804642819</v>
      </c>
      <c r="W39" s="1"/>
      <c r="X39" s="1">
        <f t="shared" ref="X39:X49" si="19">+P39-T39</f>
        <v>16609.1429115383</v>
      </c>
      <c r="Y39" s="1"/>
      <c r="Z39" s="5">
        <f t="shared" ref="Z39:Z49" si="20">IF(T39=0,0,X39/T39)</f>
        <v>0.29613548716438975</v>
      </c>
    </row>
    <row r="40" spans="1:26" s="24" customFormat="1" hidden="1" outlineLevel="2" x14ac:dyDescent="0.25">
      <c r="A40" s="28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0</v>
      </c>
      <c r="U40" s="2"/>
      <c r="V40" s="7">
        <f t="shared" si="18"/>
        <v>0</v>
      </c>
      <c r="W40" s="2"/>
      <c r="X40" s="6">
        <f t="shared" si="19"/>
        <v>0</v>
      </c>
      <c r="Y40" s="2"/>
      <c r="Z40" s="7">
        <f t="shared" si="20"/>
        <v>0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6">
        <v>12025.49</v>
      </c>
      <c r="E41" s="2"/>
      <c r="F41" s="7">
        <f t="shared" si="13"/>
        <v>7.5258088741473177</v>
      </c>
      <c r="G41" s="2"/>
      <c r="H41" s="6">
        <v>10197.5085615385</v>
      </c>
      <c r="I41" s="2"/>
      <c r="J41" s="7">
        <f t="shared" si="14"/>
        <v>0.91049183585165172</v>
      </c>
      <c r="K41" s="2"/>
      <c r="L41" s="6">
        <f t="shared" si="15"/>
        <v>1827.9814384615001</v>
      </c>
      <c r="M41" s="2"/>
      <c r="N41" s="7">
        <f t="shared" si="16"/>
        <v>0.1792576517519209</v>
      </c>
      <c r="O41" s="11"/>
      <c r="P41" s="6">
        <v>68793.919999999998</v>
      </c>
      <c r="Q41" s="2"/>
      <c r="R41" s="7">
        <f t="shared" si="17"/>
        <v>0.9350441623146345</v>
      </c>
      <c r="S41" s="2"/>
      <c r="T41" s="6">
        <v>56086.297088461703</v>
      </c>
      <c r="U41" s="2"/>
      <c r="V41" s="7">
        <f t="shared" si="18"/>
        <v>0.47364982804642819</v>
      </c>
      <c r="W41" s="2"/>
      <c r="X41" s="6">
        <f t="shared" si="19"/>
        <v>12707.622911538296</v>
      </c>
      <c r="Y41" s="2"/>
      <c r="Z41" s="7">
        <f t="shared" si="20"/>
        <v>0.2265726847949204</v>
      </c>
    </row>
    <row r="42" spans="1:26" s="24" customFormat="1" hidden="1" outlineLevel="2" x14ac:dyDescent="0.25">
      <c r="A42" s="28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3"/>
        <v>0</v>
      </c>
      <c r="G42" s="2"/>
      <c r="H42" s="6">
        <v>0</v>
      </c>
      <c r="I42" s="2"/>
      <c r="J42" s="7">
        <f t="shared" si="14"/>
        <v>0</v>
      </c>
      <c r="K42" s="2"/>
      <c r="L42" s="6">
        <f t="shared" si="15"/>
        <v>0</v>
      </c>
      <c r="M42" s="2"/>
      <c r="N42" s="7">
        <f t="shared" si="16"/>
        <v>0</v>
      </c>
      <c r="O42" s="11"/>
      <c r="P42" s="6"/>
      <c r="Q42" s="2"/>
      <c r="R42" s="7">
        <f t="shared" si="17"/>
        <v>0</v>
      </c>
      <c r="S42" s="2"/>
      <c r="T42" s="6">
        <v>0</v>
      </c>
      <c r="U42" s="2"/>
      <c r="V42" s="7">
        <f t="shared" si="18"/>
        <v>0</v>
      </c>
      <c r="W42" s="2"/>
      <c r="X42" s="6">
        <f t="shared" si="19"/>
        <v>0</v>
      </c>
      <c r="Y42" s="2"/>
      <c r="Z42" s="7">
        <f t="shared" si="20"/>
        <v>0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3"/>
        <v>0</v>
      </c>
      <c r="G43" s="2"/>
      <c r="H43" s="6">
        <v>0</v>
      </c>
      <c r="I43" s="2"/>
      <c r="J43" s="7">
        <f t="shared" si="14"/>
        <v>0</v>
      </c>
      <c r="K43" s="2"/>
      <c r="L43" s="6">
        <f t="shared" si="15"/>
        <v>0</v>
      </c>
      <c r="M43" s="2"/>
      <c r="N43" s="7">
        <f t="shared" si="16"/>
        <v>0</v>
      </c>
      <c r="O43" s="11"/>
      <c r="P43" s="6"/>
      <c r="Q43" s="2"/>
      <c r="R43" s="7">
        <f t="shared" si="17"/>
        <v>0</v>
      </c>
      <c r="S43" s="2"/>
      <c r="T43" s="6">
        <v>0</v>
      </c>
      <c r="U43" s="2"/>
      <c r="V43" s="7">
        <f t="shared" si="18"/>
        <v>0</v>
      </c>
      <c r="W43" s="2"/>
      <c r="X43" s="6">
        <f t="shared" si="19"/>
        <v>0</v>
      </c>
      <c r="Y43" s="2"/>
      <c r="Z43" s="7">
        <f t="shared" si="20"/>
        <v>0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>
        <v>383.25</v>
      </c>
      <c r="Q44" s="2"/>
      <c r="R44" s="7">
        <f t="shared" si="17"/>
        <v>5.2091184105671502E-3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383.25</v>
      </c>
      <c r="Y44" s="2"/>
      <c r="Z44" s="7">
        <f t="shared" si="20"/>
        <v>0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3"/>
        <v>0</v>
      </c>
      <c r="G45" s="2"/>
      <c r="H45" s="6">
        <v>0</v>
      </c>
      <c r="I45" s="2"/>
      <c r="J45" s="7">
        <f t="shared" si="14"/>
        <v>0</v>
      </c>
      <c r="K45" s="2"/>
      <c r="L45" s="6">
        <f t="shared" si="15"/>
        <v>0</v>
      </c>
      <c r="M45" s="2"/>
      <c r="N45" s="7">
        <f t="shared" si="16"/>
        <v>0</v>
      </c>
      <c r="O45" s="11"/>
      <c r="P45" s="6"/>
      <c r="Q45" s="2"/>
      <c r="R45" s="7">
        <f t="shared" si="17"/>
        <v>0</v>
      </c>
      <c r="S45" s="2"/>
      <c r="T45" s="6">
        <v>0</v>
      </c>
      <c r="U45" s="2"/>
      <c r="V45" s="7">
        <f t="shared" si="18"/>
        <v>0</v>
      </c>
      <c r="W45" s="2"/>
      <c r="X45" s="6">
        <f t="shared" si="19"/>
        <v>0</v>
      </c>
      <c r="Y45" s="2"/>
      <c r="Z45" s="7">
        <f t="shared" si="20"/>
        <v>0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6">
        <v>501.9</v>
      </c>
      <c r="E46" s="2"/>
      <c r="F46" s="7">
        <f t="shared" si="13"/>
        <v>0.31409975592965766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501.9</v>
      </c>
      <c r="M46" s="2"/>
      <c r="N46" s="7">
        <f t="shared" si="16"/>
        <v>0</v>
      </c>
      <c r="O46" s="11"/>
      <c r="P46" s="6">
        <v>3518.27</v>
      </c>
      <c r="Q46" s="2"/>
      <c r="R46" s="7">
        <f t="shared" si="17"/>
        <v>4.7820182727582747E-2</v>
      </c>
      <c r="S46" s="2"/>
      <c r="T46" s="6">
        <v>0</v>
      </c>
      <c r="U46" s="2"/>
      <c r="V46" s="7">
        <f t="shared" si="18"/>
        <v>0</v>
      </c>
      <c r="W46" s="2"/>
      <c r="X46" s="6">
        <f t="shared" si="19"/>
        <v>3518.27</v>
      </c>
      <c r="Y46" s="2"/>
      <c r="Z46" s="7">
        <f t="shared" si="20"/>
        <v>0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3"/>
        <v>0</v>
      </c>
      <c r="G47" s="2"/>
      <c r="H47" s="6">
        <v>0</v>
      </c>
      <c r="I47" s="2"/>
      <c r="J47" s="7">
        <f t="shared" si="14"/>
        <v>0</v>
      </c>
      <c r="K47" s="2"/>
      <c r="L47" s="6">
        <f t="shared" si="15"/>
        <v>0</v>
      </c>
      <c r="M47" s="2"/>
      <c r="N47" s="7">
        <f t="shared" si="16"/>
        <v>0</v>
      </c>
      <c r="O47" s="11"/>
      <c r="P47" s="6"/>
      <c r="Q47" s="2"/>
      <c r="R47" s="7">
        <f t="shared" si="17"/>
        <v>0</v>
      </c>
      <c r="S47" s="2"/>
      <c r="T47" s="6">
        <v>0</v>
      </c>
      <c r="U47" s="2"/>
      <c r="V47" s="7">
        <f t="shared" si="18"/>
        <v>0</v>
      </c>
      <c r="W47" s="2"/>
      <c r="X47" s="6">
        <f t="shared" si="19"/>
        <v>0</v>
      </c>
      <c r="Y47" s="2"/>
      <c r="Z47" s="7">
        <f t="shared" si="20"/>
        <v>0</v>
      </c>
    </row>
    <row r="48" spans="1:26" s="24" customFormat="1" hidden="1" outlineLevel="2" x14ac:dyDescent="0.25">
      <c r="A48" s="28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3"/>
        <v>0</v>
      </c>
      <c r="G48" s="2"/>
      <c r="H48" s="6">
        <v>0</v>
      </c>
      <c r="I48" s="2"/>
      <c r="J48" s="7">
        <f t="shared" si="14"/>
        <v>0</v>
      </c>
      <c r="K48" s="2"/>
      <c r="L48" s="6">
        <f t="shared" si="15"/>
        <v>0</v>
      </c>
      <c r="M48" s="2"/>
      <c r="N48" s="7">
        <f t="shared" si="16"/>
        <v>0</v>
      </c>
      <c r="O48" s="11"/>
      <c r="P48" s="6"/>
      <c r="Q48" s="2"/>
      <c r="R48" s="7">
        <f t="shared" si="17"/>
        <v>0</v>
      </c>
      <c r="S48" s="2"/>
      <c r="T48" s="6">
        <v>0</v>
      </c>
      <c r="U48" s="2"/>
      <c r="V48" s="7">
        <f t="shared" si="18"/>
        <v>0</v>
      </c>
      <c r="W48" s="2"/>
      <c r="X48" s="6">
        <f t="shared" si="19"/>
        <v>0</v>
      </c>
      <c r="Y48" s="2"/>
      <c r="Z48" s="7">
        <f t="shared" si="20"/>
        <v>0</v>
      </c>
    </row>
    <row r="49" spans="1:26" s="24" customFormat="1" hidden="1" outlineLevel="2" x14ac:dyDescent="0.25">
      <c r="A49" s="28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3"/>
        <v>0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0</v>
      </c>
      <c r="M49" s="2"/>
      <c r="N49" s="7">
        <f t="shared" si="16"/>
        <v>0</v>
      </c>
      <c r="O49" s="11"/>
      <c r="P49" s="6"/>
      <c r="Q49" s="2"/>
      <c r="R49" s="7">
        <f t="shared" si="17"/>
        <v>0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0</v>
      </c>
      <c r="Y49" s="2"/>
      <c r="Z49" s="7">
        <f t="shared" si="20"/>
        <v>0</v>
      </c>
    </row>
    <row r="50" spans="1:26" s="29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1">IF(D$12=0,0,D50/D$12)</f>
        <v>0</v>
      </c>
      <c r="G50" s="1"/>
      <c r="H50" s="1">
        <f>SUM(OSRRefH22_2x_0)</f>
        <v>50</v>
      </c>
      <c r="I50" s="1"/>
      <c r="J50" s="5">
        <f t="shared" ref="J50:J60" si="22">IF(H$12=0,0,H50/H$12)</f>
        <v>4.464285714285714E-3</v>
      </c>
      <c r="K50" s="1"/>
      <c r="L50" s="1">
        <f t="shared" ref="L50:L60" si="23">+D50-H50</f>
        <v>-50</v>
      </c>
      <c r="M50" s="1"/>
      <c r="N50" s="5">
        <f t="shared" ref="N50:N60" si="24">IF(H50=0,0,L50/H50)</f>
        <v>-1</v>
      </c>
      <c r="O50" s="14"/>
      <c r="P50" s="1">
        <f>SUM(OSRRefP22_2x_0)</f>
        <v>0</v>
      </c>
      <c r="Q50" s="1"/>
      <c r="R50" s="5">
        <f t="shared" ref="R50:R60" si="25">IF(P$12=0,0,P50/P$12)</f>
        <v>0</v>
      </c>
      <c r="S50" s="1"/>
      <c r="T50" s="1">
        <f>SUM(OSRRefT22_2x_0)</f>
        <v>250</v>
      </c>
      <c r="U50" s="1"/>
      <c r="V50" s="5">
        <f t="shared" ref="V50:V60" si="26">IF(T$12=0,0,T50/T$12)</f>
        <v>2.1112546764291084E-3</v>
      </c>
      <c r="W50" s="1"/>
      <c r="X50" s="1">
        <f t="shared" ref="X50:X60" si="27">+P50-T50</f>
        <v>-250</v>
      </c>
      <c r="Y50" s="1"/>
      <c r="Z50" s="5">
        <f t="shared" ref="Z50:Z60" si="28">IF(T50=0,0,X50/T50)</f>
        <v>-1</v>
      </c>
    </row>
    <row r="51" spans="1:26" s="24" customFormat="1" hidden="1" outlineLevel="2" x14ac:dyDescent="0.25">
      <c r="A51" s="28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1"/>
        <v>0</v>
      </c>
      <c r="G51" s="2"/>
      <c r="H51" s="6">
        <v>50</v>
      </c>
      <c r="I51" s="2"/>
      <c r="J51" s="7">
        <f t="shared" si="22"/>
        <v>4.464285714285714E-3</v>
      </c>
      <c r="K51" s="2"/>
      <c r="L51" s="6">
        <f t="shared" si="23"/>
        <v>-50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250</v>
      </c>
      <c r="U51" s="2"/>
      <c r="V51" s="7">
        <f t="shared" si="26"/>
        <v>2.1112546764291084E-3</v>
      </c>
      <c r="W51" s="2"/>
      <c r="X51" s="6">
        <f t="shared" si="27"/>
        <v>-250</v>
      </c>
      <c r="Y51" s="2"/>
      <c r="Z51" s="7">
        <f t="shared" si="28"/>
        <v>-1</v>
      </c>
    </row>
    <row r="52" spans="1:26" s="29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1"/>
        <v>0.10631453783090306</v>
      </c>
      <c r="G52" s="1"/>
      <c r="H52" s="1">
        <f>SUM(OSRRefH22_3x_0)</f>
        <v>170</v>
      </c>
      <c r="I52" s="1"/>
      <c r="J52" s="5">
        <f t="shared" si="22"/>
        <v>1.5178571428571428E-2</v>
      </c>
      <c r="K52" s="1"/>
      <c r="L52" s="1">
        <f t="shared" si="23"/>
        <v>-0.12000000000000455</v>
      </c>
      <c r="M52" s="1"/>
      <c r="N52" s="5">
        <f t="shared" si="24"/>
        <v>-7.0588235294120319E-4</v>
      </c>
      <c r="O52" s="14"/>
      <c r="P52" s="1">
        <f>SUM(OSRRefP22_3x_0)</f>
        <v>849.4</v>
      </c>
      <c r="Q52" s="1"/>
      <c r="R52" s="5">
        <f t="shared" si="25"/>
        <v>1.1545010249016927E-2</v>
      </c>
      <c r="S52" s="1"/>
      <c r="T52" s="1">
        <f>SUM(OSRRefT22_3x_0)</f>
        <v>850</v>
      </c>
      <c r="U52" s="1"/>
      <c r="V52" s="5">
        <f t="shared" si="26"/>
        <v>7.1782658998589682E-3</v>
      </c>
      <c r="W52" s="1"/>
      <c r="X52" s="1">
        <f t="shared" si="27"/>
        <v>-0.60000000000002274</v>
      </c>
      <c r="Y52" s="1"/>
      <c r="Z52" s="5">
        <f t="shared" si="28"/>
        <v>-7.0588235294120319E-4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1"/>
        <v>0.10631453783090306</v>
      </c>
      <c r="G53" s="2"/>
      <c r="H53" s="6">
        <v>170</v>
      </c>
      <c r="I53" s="2"/>
      <c r="J53" s="7">
        <f t="shared" si="22"/>
        <v>1.5178571428571428E-2</v>
      </c>
      <c r="K53" s="2"/>
      <c r="L53" s="6">
        <f t="shared" si="23"/>
        <v>-0.12000000000000455</v>
      </c>
      <c r="M53" s="2"/>
      <c r="N53" s="7">
        <f t="shared" si="24"/>
        <v>-7.0588235294120319E-4</v>
      </c>
      <c r="O53" s="11"/>
      <c r="P53" s="6">
        <v>849.4</v>
      </c>
      <c r="Q53" s="2"/>
      <c r="R53" s="7">
        <f t="shared" si="25"/>
        <v>1.1545010249016927E-2</v>
      </c>
      <c r="S53" s="2"/>
      <c r="T53" s="6">
        <v>850</v>
      </c>
      <c r="U53" s="2"/>
      <c r="V53" s="7">
        <f t="shared" si="26"/>
        <v>7.1782658998589682E-3</v>
      </c>
      <c r="W53" s="2"/>
      <c r="X53" s="6">
        <f t="shared" si="27"/>
        <v>-0.60000000000002274</v>
      </c>
      <c r="Y53" s="2"/>
      <c r="Z53" s="7">
        <f t="shared" si="28"/>
        <v>-7.0588235294120319E-4</v>
      </c>
    </row>
    <row r="54" spans="1:26" s="29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1"/>
        <v>0</v>
      </c>
      <c r="G54" s="1"/>
      <c r="H54" s="1">
        <f>SUM(OSRRefH22_4x_0)</f>
        <v>50</v>
      </c>
      <c r="I54" s="1"/>
      <c r="J54" s="5">
        <f t="shared" si="22"/>
        <v>4.464285714285714E-3</v>
      </c>
      <c r="K54" s="1"/>
      <c r="L54" s="1">
        <f t="shared" si="23"/>
        <v>-50</v>
      </c>
      <c r="M54" s="1"/>
      <c r="N54" s="5">
        <f t="shared" si="24"/>
        <v>-1</v>
      </c>
      <c r="O54" s="14"/>
      <c r="P54" s="1">
        <f>SUM(OSRRefP22_4x_0)</f>
        <v>0</v>
      </c>
      <c r="Q54" s="1"/>
      <c r="R54" s="5">
        <f t="shared" si="25"/>
        <v>0</v>
      </c>
      <c r="S54" s="1"/>
      <c r="T54" s="1">
        <f>SUM(OSRRefT22_4x_0)</f>
        <v>250</v>
      </c>
      <c r="U54" s="1"/>
      <c r="V54" s="5">
        <f t="shared" si="26"/>
        <v>2.1112546764291084E-3</v>
      </c>
      <c r="W54" s="1"/>
      <c r="X54" s="1">
        <f t="shared" si="27"/>
        <v>-250</v>
      </c>
      <c r="Y54" s="1"/>
      <c r="Z54" s="5">
        <f t="shared" si="28"/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1"/>
        <v>0</v>
      </c>
      <c r="G55" s="2"/>
      <c r="H55" s="6">
        <v>50</v>
      </c>
      <c r="I55" s="2"/>
      <c r="J55" s="7">
        <f t="shared" si="22"/>
        <v>4.464285714285714E-3</v>
      </c>
      <c r="K55" s="2"/>
      <c r="L55" s="6">
        <f t="shared" si="23"/>
        <v>-50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250</v>
      </c>
      <c r="U55" s="2"/>
      <c r="V55" s="7">
        <f t="shared" si="26"/>
        <v>2.1112546764291084E-3</v>
      </c>
      <c r="W55" s="2"/>
      <c r="X55" s="6">
        <f t="shared" si="27"/>
        <v>-250</v>
      </c>
      <c r="Y55" s="2"/>
      <c r="Z55" s="7">
        <f t="shared" si="28"/>
        <v>-1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1"/>
        <v>0.7545153013329996</v>
      </c>
      <c r="G56" s="1"/>
      <c r="H56" s="1">
        <f>SUM(OSRRefH22_5x_0)</f>
        <v>1206</v>
      </c>
      <c r="I56" s="1"/>
      <c r="J56" s="5">
        <f t="shared" si="22"/>
        <v>0.10767857142857143</v>
      </c>
      <c r="K56" s="1"/>
      <c r="L56" s="1">
        <f t="shared" si="23"/>
        <v>-0.35999999999989996</v>
      </c>
      <c r="M56" s="1"/>
      <c r="N56" s="5">
        <f t="shared" si="24"/>
        <v>-2.9850746268648423E-4</v>
      </c>
      <c r="O56" s="14"/>
      <c r="P56" s="1">
        <f>SUM(OSRRefP22_5x_0)</f>
        <v>6028.2</v>
      </c>
      <c r="Q56" s="1"/>
      <c r="R56" s="5">
        <f t="shared" si="25"/>
        <v>8.1935049191339579E-2</v>
      </c>
      <c r="S56" s="1"/>
      <c r="T56" s="1">
        <f>SUM(OSRRefT22_5x_0)</f>
        <v>6030</v>
      </c>
      <c r="U56" s="1"/>
      <c r="V56" s="5">
        <f t="shared" si="26"/>
        <v>5.0923462795470095E-2</v>
      </c>
      <c r="W56" s="1"/>
      <c r="X56" s="1">
        <f t="shared" si="27"/>
        <v>-1.8000000000001819</v>
      </c>
      <c r="Y56" s="1"/>
      <c r="Z56" s="5">
        <f t="shared" si="28"/>
        <v>-2.9850746268659731E-4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1"/>
        <v>0.7545153013329996</v>
      </c>
      <c r="G57" s="2"/>
      <c r="H57" s="6">
        <v>1206</v>
      </c>
      <c r="I57" s="2"/>
      <c r="J57" s="7">
        <f t="shared" si="22"/>
        <v>0.10767857142857143</v>
      </c>
      <c r="K57" s="2"/>
      <c r="L57" s="6">
        <f t="shared" si="23"/>
        <v>-0.35999999999989996</v>
      </c>
      <c r="M57" s="2"/>
      <c r="N57" s="7">
        <f t="shared" si="24"/>
        <v>-2.9850746268648423E-4</v>
      </c>
      <c r="O57" s="11"/>
      <c r="P57" s="6">
        <v>6028.2</v>
      </c>
      <c r="Q57" s="2"/>
      <c r="R57" s="7">
        <f t="shared" si="25"/>
        <v>8.1935049191339579E-2</v>
      </c>
      <c r="S57" s="2"/>
      <c r="T57" s="6">
        <v>6030</v>
      </c>
      <c r="U57" s="2"/>
      <c r="V57" s="7">
        <f t="shared" si="26"/>
        <v>5.0923462795470095E-2</v>
      </c>
      <c r="W57" s="2"/>
      <c r="X57" s="6">
        <f t="shared" si="27"/>
        <v>-1.8000000000001819</v>
      </c>
      <c r="Y57" s="2"/>
      <c r="Z57" s="7">
        <f t="shared" si="28"/>
        <v>-2.9850746268659731E-4</v>
      </c>
    </row>
    <row r="58" spans="1:26" s="29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8307.7900000000009</v>
      </c>
      <c r="E58" s="1"/>
      <c r="F58" s="5">
        <f t="shared" si="21"/>
        <v>5.1991926904061581</v>
      </c>
      <c r="G58" s="1"/>
      <c r="H58" s="1">
        <f>SUM(OSRRefH22_6x_0)</f>
        <v>4500</v>
      </c>
      <c r="I58" s="1"/>
      <c r="J58" s="5">
        <f t="shared" si="22"/>
        <v>0.4017857142857143</v>
      </c>
      <c r="K58" s="1"/>
      <c r="L58" s="1">
        <f t="shared" si="23"/>
        <v>3807.7900000000009</v>
      </c>
      <c r="M58" s="1"/>
      <c r="N58" s="5">
        <f t="shared" si="24"/>
        <v>0.84617555555555579</v>
      </c>
      <c r="O58" s="14"/>
      <c r="P58" s="1">
        <f>SUM(OSRRefP22_6x_0)</f>
        <v>-24841.370000000024</v>
      </c>
      <c r="Q58" s="1"/>
      <c r="R58" s="5">
        <f t="shared" si="25"/>
        <v>-0.33764289056936886</v>
      </c>
      <c r="S58" s="1"/>
      <c r="T58" s="1">
        <f>SUM(OSRRefT22_6x_0)</f>
        <v>32810</v>
      </c>
      <c r="U58" s="1"/>
      <c r="V58" s="5">
        <f t="shared" si="26"/>
        <v>0.27708106373455615</v>
      </c>
      <c r="W58" s="1"/>
      <c r="X58" s="1">
        <f t="shared" si="27"/>
        <v>-57651.370000000024</v>
      </c>
      <c r="Y58" s="1"/>
      <c r="Z58" s="5">
        <f t="shared" si="28"/>
        <v>-1.7571280097531248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6">
        <v>12643.45</v>
      </c>
      <c r="E59" s="2"/>
      <c r="F59" s="7">
        <f t="shared" si="21"/>
        <v>7.9125414606671258</v>
      </c>
      <c r="G59" s="2"/>
      <c r="H59" s="6">
        <v>3500</v>
      </c>
      <c r="I59" s="2"/>
      <c r="J59" s="7">
        <f t="shared" si="22"/>
        <v>0.3125</v>
      </c>
      <c r="K59" s="2"/>
      <c r="L59" s="6">
        <f t="shared" si="23"/>
        <v>9143.4500000000007</v>
      </c>
      <c r="M59" s="2"/>
      <c r="N59" s="7">
        <f t="shared" si="24"/>
        <v>2.6124142857142858</v>
      </c>
      <c r="O59" s="11"/>
      <c r="P59" s="6">
        <v>98238.23</v>
      </c>
      <c r="Q59" s="2"/>
      <c r="R59" s="7">
        <f t="shared" si="25"/>
        <v>1.3352500261305418</v>
      </c>
      <c r="S59" s="2"/>
      <c r="T59" s="6">
        <v>17060</v>
      </c>
      <c r="U59" s="2"/>
      <c r="V59" s="7">
        <f t="shared" si="26"/>
        <v>0.14407201911952236</v>
      </c>
      <c r="W59" s="2"/>
      <c r="X59" s="6">
        <f t="shared" si="27"/>
        <v>81178.23</v>
      </c>
      <c r="Y59" s="2"/>
      <c r="Z59" s="7">
        <f t="shared" si="28"/>
        <v>4.7583956623681125</v>
      </c>
    </row>
    <row r="60" spans="1:26" s="24" customFormat="1" hidden="1" outlineLevel="2" x14ac:dyDescent="0.25">
      <c r="A60" s="28"/>
      <c r="B60" s="11" t="str">
        <f>CONCATENATE("          ", "6307", " - ", "POSTAGE")</f>
        <v xml:space="preserve">          6307 - POSTAGE</v>
      </c>
      <c r="C60" s="11"/>
      <c r="D60" s="6">
        <v>-4335.66</v>
      </c>
      <c r="E60" s="2"/>
      <c r="F60" s="7">
        <f t="shared" si="21"/>
        <v>-2.7133487702609673</v>
      </c>
      <c r="G60" s="2"/>
      <c r="H60" s="6">
        <v>1000</v>
      </c>
      <c r="I60" s="2"/>
      <c r="J60" s="7">
        <f t="shared" si="22"/>
        <v>8.9285714285714288E-2</v>
      </c>
      <c r="K60" s="2"/>
      <c r="L60" s="6">
        <f t="shared" si="23"/>
        <v>-5335.66</v>
      </c>
      <c r="M60" s="2"/>
      <c r="N60" s="7">
        <f t="shared" si="24"/>
        <v>-5.3356599999999998</v>
      </c>
      <c r="O60" s="11"/>
      <c r="P60" s="6">
        <v>-123079.60000000002</v>
      </c>
      <c r="Q60" s="2"/>
      <c r="R60" s="7">
        <f t="shared" si="25"/>
        <v>-1.6728929166999105</v>
      </c>
      <c r="S60" s="2"/>
      <c r="T60" s="6">
        <v>15750</v>
      </c>
      <c r="U60" s="2"/>
      <c r="V60" s="7">
        <f t="shared" si="26"/>
        <v>0.13300904461503382</v>
      </c>
      <c r="W60" s="2"/>
      <c r="X60" s="6">
        <f t="shared" si="27"/>
        <v>-138829.60000000003</v>
      </c>
      <c r="Y60" s="2"/>
      <c r="Z60" s="7">
        <f t="shared" si="28"/>
        <v>-8.8145777777777798</v>
      </c>
    </row>
    <row r="61" spans="1:26" s="29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400.12</v>
      </c>
      <c r="E61" s="1"/>
      <c r="F61" s="5">
        <f t="shared" ref="F61:F63" si="29">IF(D$12=0,0,D61/D$12)</f>
        <v>0.25040365479692095</v>
      </c>
      <c r="G61" s="1"/>
      <c r="H61" s="1">
        <f>SUM(OSRRefH22_7x_0)</f>
        <v>1400</v>
      </c>
      <c r="I61" s="1"/>
      <c r="J61" s="5">
        <f t="shared" ref="J61:J63" si="30">IF(H$12=0,0,H61/H$12)</f>
        <v>0.125</v>
      </c>
      <c r="K61" s="1"/>
      <c r="L61" s="1">
        <f t="shared" ref="L61:L63" si="31">+D61-H61</f>
        <v>-999.88</v>
      </c>
      <c r="M61" s="1"/>
      <c r="N61" s="5">
        <f t="shared" ref="N61:N63" si="32">IF(H61=0,0,L61/H61)</f>
        <v>-0.71419999999999995</v>
      </c>
      <c r="O61" s="14"/>
      <c r="P61" s="1">
        <f>SUM(OSRRefP22_7x_0)</f>
        <v>24520.880000000001</v>
      </c>
      <c r="Q61" s="1"/>
      <c r="R61" s="5">
        <f t="shared" ref="R61:R63" si="33">IF(P$12=0,0,P61/P$12)</f>
        <v>0.33328680352591733</v>
      </c>
      <c r="S61" s="1"/>
      <c r="T61" s="1">
        <f>SUM(OSRRefT22_7x_0)</f>
        <v>21700</v>
      </c>
      <c r="U61" s="1"/>
      <c r="V61" s="5">
        <f t="shared" ref="V61:V63" si="34">IF(T$12=0,0,T61/T$12)</f>
        <v>0.18325690591404659</v>
      </c>
      <c r="W61" s="1"/>
      <c r="X61" s="1">
        <f t="shared" ref="X61:X63" si="35">+P61-T61</f>
        <v>2820.880000000001</v>
      </c>
      <c r="Y61" s="1"/>
      <c r="Z61" s="5">
        <f t="shared" ref="Z61:Z63" si="36">IF(T61=0,0,X61/T61)</f>
        <v>0.129994470046083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7.69</v>
      </c>
      <c r="Q62" s="2"/>
      <c r="R62" s="7">
        <f t="shared" si="33"/>
        <v>1.0452216719441979E-4</v>
      </c>
      <c r="S62" s="2"/>
      <c r="T62" s="6"/>
      <c r="U62" s="2"/>
      <c r="V62" s="7">
        <f t="shared" si="34"/>
        <v>0</v>
      </c>
      <c r="W62" s="2"/>
      <c r="X62" s="6">
        <f t="shared" si="35"/>
        <v>7.69</v>
      </c>
      <c r="Y62" s="2"/>
      <c r="Z62" s="7">
        <f t="shared" si="36"/>
        <v>0</v>
      </c>
    </row>
    <row r="63" spans="1:26" s="24" customFormat="1" hidden="1" outlineLevel="2" x14ac:dyDescent="0.25">
      <c r="A63" s="28"/>
      <c r="B63" s="11" t="str">
        <f>CONCATENATE("          ", "6373", " - ", "MAINTENANCE CONTRACTS")</f>
        <v xml:space="preserve">          6373 - MAINTENANCE CONTRACTS</v>
      </c>
      <c r="C63" s="11"/>
      <c r="D63" s="6">
        <v>400.12</v>
      </c>
      <c r="E63" s="2"/>
      <c r="F63" s="7">
        <f t="shared" si="29"/>
        <v>0.25040365479692095</v>
      </c>
      <c r="G63" s="2"/>
      <c r="H63" s="6">
        <v>1400</v>
      </c>
      <c r="I63" s="2"/>
      <c r="J63" s="7">
        <f t="shared" si="30"/>
        <v>0.125</v>
      </c>
      <c r="K63" s="2"/>
      <c r="L63" s="6">
        <f t="shared" si="31"/>
        <v>-999.88</v>
      </c>
      <c r="M63" s="2"/>
      <c r="N63" s="7">
        <f t="shared" si="32"/>
        <v>-0.71419999999999995</v>
      </c>
      <c r="O63" s="11"/>
      <c r="P63" s="6">
        <v>24513.190000000002</v>
      </c>
      <c r="Q63" s="2"/>
      <c r="R63" s="7">
        <f t="shared" si="33"/>
        <v>0.33318228135872296</v>
      </c>
      <c r="S63" s="2"/>
      <c r="T63" s="6">
        <v>21700</v>
      </c>
      <c r="U63" s="2"/>
      <c r="V63" s="7">
        <f t="shared" si="34"/>
        <v>0.18325690591404659</v>
      </c>
      <c r="W63" s="2"/>
      <c r="X63" s="6">
        <f t="shared" si="35"/>
        <v>2813.1900000000023</v>
      </c>
      <c r="Y63" s="2"/>
      <c r="Z63" s="7">
        <f t="shared" si="36"/>
        <v>0.12964009216589872</v>
      </c>
    </row>
    <row r="64" spans="1:26" s="29" customFormat="1" outlineLevel="1" collapsed="1" x14ac:dyDescent="0.25">
      <c r="A64" s="27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4453.09</v>
      </c>
      <c r="E64" s="1"/>
      <c r="F64" s="5">
        <f t="shared" ref="F64:F71" si="37">IF(D$12=0,0,D64/D$12)</f>
        <v>2.7868389761562051</v>
      </c>
      <c r="G64" s="1"/>
      <c r="H64" s="1">
        <f>SUM(OSRRefH22_8x_0)</f>
        <v>900</v>
      </c>
      <c r="I64" s="1"/>
      <c r="J64" s="5">
        <f t="shared" ref="J64:J71" si="38">IF(H$12=0,0,H64/H$12)</f>
        <v>8.0357142857142863E-2</v>
      </c>
      <c r="K64" s="1"/>
      <c r="L64" s="1">
        <f t="shared" ref="L64:L71" si="39">+D64-H64</f>
        <v>3553.09</v>
      </c>
      <c r="M64" s="1"/>
      <c r="N64" s="5">
        <f t="shared" ref="N64:N71" si="40">IF(H64=0,0,L64/H64)</f>
        <v>3.9478777777777778</v>
      </c>
      <c r="O64" s="14"/>
      <c r="P64" s="1">
        <f>SUM(OSRRefP22_8x_0)</f>
        <v>10158.290000000001</v>
      </c>
      <c r="Q64" s="1"/>
      <c r="R64" s="5">
        <f t="shared" ref="R64:R71" si="41">IF(P$12=0,0,P64/P$12)</f>
        <v>0.13807106447196393</v>
      </c>
      <c r="S64" s="1"/>
      <c r="T64" s="1">
        <f>SUM(OSRRefT22_8x_0)</f>
        <v>3450</v>
      </c>
      <c r="U64" s="1"/>
      <c r="V64" s="5">
        <f t="shared" ref="V64:V71" si="42">IF(T$12=0,0,T64/T$12)</f>
        <v>2.9135314534721693E-2</v>
      </c>
      <c r="W64" s="1"/>
      <c r="X64" s="1">
        <f t="shared" ref="X64:X71" si="43">+P64-T64</f>
        <v>6708.2900000000009</v>
      </c>
      <c r="Y64" s="1"/>
      <c r="Z64" s="5">
        <f t="shared" ref="Z64:Z71" si="44">IF(T64=0,0,X64/T64)</f>
        <v>1.9444318840579713</v>
      </c>
    </row>
    <row r="65" spans="1:26" s="24" customFormat="1" hidden="1" outlineLevel="2" x14ac:dyDescent="0.25">
      <c r="A65" s="28"/>
      <c r="B65" s="11" t="str">
        <f>CONCATENATE("          ", "6259", " - ", "ROYALTY &amp; COMMISSIONS")</f>
        <v xml:space="preserve">          6259 - ROYALTY &amp; COMMISSIONS</v>
      </c>
      <c r="C65" s="11"/>
      <c r="D65" s="6">
        <v>4453.09</v>
      </c>
      <c r="E65" s="2"/>
      <c r="F65" s="7">
        <f t="shared" si="37"/>
        <v>2.7868389761562051</v>
      </c>
      <c r="G65" s="2"/>
      <c r="H65" s="6">
        <v>900</v>
      </c>
      <c r="I65" s="2"/>
      <c r="J65" s="7">
        <f t="shared" si="38"/>
        <v>8.0357142857142863E-2</v>
      </c>
      <c r="K65" s="2"/>
      <c r="L65" s="6">
        <f t="shared" si="39"/>
        <v>3553.09</v>
      </c>
      <c r="M65" s="2"/>
      <c r="N65" s="7">
        <f t="shared" si="40"/>
        <v>3.9478777777777778</v>
      </c>
      <c r="O65" s="11"/>
      <c r="P65" s="6">
        <v>10158.290000000001</v>
      </c>
      <c r="Q65" s="2"/>
      <c r="R65" s="7">
        <f t="shared" si="41"/>
        <v>0.13807106447196393</v>
      </c>
      <c r="S65" s="2"/>
      <c r="T65" s="6">
        <v>3450</v>
      </c>
      <c r="U65" s="2"/>
      <c r="V65" s="7">
        <f t="shared" si="42"/>
        <v>2.9135314534721693E-2</v>
      </c>
      <c r="W65" s="2"/>
      <c r="X65" s="6">
        <f t="shared" si="43"/>
        <v>6708.2900000000009</v>
      </c>
      <c r="Y65" s="2"/>
      <c r="Z65" s="7">
        <f t="shared" si="44"/>
        <v>1.9444318840579713</v>
      </c>
    </row>
    <row r="66" spans="1:26" s="29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2362.06</v>
      </c>
      <c r="E66" s="1"/>
      <c r="F66" s="5">
        <f t="shared" si="37"/>
        <v>1.4782276738218911</v>
      </c>
      <c r="G66" s="1"/>
      <c r="H66" s="1">
        <f>SUM(OSRRefH22_9x_0)</f>
        <v>1300</v>
      </c>
      <c r="I66" s="1"/>
      <c r="J66" s="5">
        <f t="shared" si="38"/>
        <v>0.11607142857142858</v>
      </c>
      <c r="K66" s="1"/>
      <c r="L66" s="1">
        <f t="shared" si="39"/>
        <v>1062.06</v>
      </c>
      <c r="M66" s="1"/>
      <c r="N66" s="5">
        <f t="shared" si="40"/>
        <v>0.81696923076923078</v>
      </c>
      <c r="O66" s="14"/>
      <c r="P66" s="1">
        <f>SUM(OSRRefP22_9x_0)</f>
        <v>23873.61</v>
      </c>
      <c r="Q66" s="1"/>
      <c r="R66" s="5">
        <f t="shared" si="41"/>
        <v>0.32448913601487284</v>
      </c>
      <c r="S66" s="1"/>
      <c r="T66" s="1">
        <f>SUM(OSRRefT22_9x_0)</f>
        <v>6650</v>
      </c>
      <c r="U66" s="1"/>
      <c r="V66" s="5">
        <f t="shared" si="42"/>
        <v>5.6159374393014279E-2</v>
      </c>
      <c r="W66" s="1"/>
      <c r="X66" s="1">
        <f t="shared" si="43"/>
        <v>17223.61</v>
      </c>
      <c r="Y66" s="1"/>
      <c r="Z66" s="5">
        <f t="shared" si="44"/>
        <v>2.5900165413533833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310.91000000000003</v>
      </c>
      <c r="Q67" s="2"/>
      <c r="R67" s="7">
        <f t="shared" si="41"/>
        <v>4.2258760731361585E-3</v>
      </c>
      <c r="S67" s="2"/>
      <c r="T67" s="6"/>
      <c r="U67" s="2"/>
      <c r="V67" s="7">
        <f t="shared" si="42"/>
        <v>0</v>
      </c>
      <c r="W67" s="2"/>
      <c r="X67" s="6">
        <f t="shared" si="43"/>
        <v>310.91000000000003</v>
      </c>
      <c r="Y67" s="2"/>
      <c r="Z67" s="7">
        <f t="shared" si="44"/>
        <v>0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4596.8599999999997</v>
      </c>
      <c r="Q68" s="2"/>
      <c r="R68" s="7">
        <f t="shared" si="41"/>
        <v>6.2480334133854426E-2</v>
      </c>
      <c r="S68" s="2"/>
      <c r="T68" s="6"/>
      <c r="U68" s="2"/>
      <c r="V68" s="7">
        <f t="shared" si="42"/>
        <v>0</v>
      </c>
      <c r="W68" s="2"/>
      <c r="X68" s="6">
        <f t="shared" si="43"/>
        <v>4596.8599999999997</v>
      </c>
      <c r="Y68" s="2"/>
      <c r="Z68" s="7">
        <f t="shared" si="44"/>
        <v>0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6">
        <v>1108.5999999999999</v>
      </c>
      <c r="E69" s="2"/>
      <c r="F69" s="7">
        <f t="shared" si="37"/>
        <v>0.69378559359158887</v>
      </c>
      <c r="G69" s="2"/>
      <c r="H69" s="6">
        <v>1000</v>
      </c>
      <c r="I69" s="2"/>
      <c r="J69" s="7">
        <f t="shared" si="38"/>
        <v>8.9285714285714288E-2</v>
      </c>
      <c r="K69" s="2"/>
      <c r="L69" s="6">
        <f t="shared" si="39"/>
        <v>108.59999999999991</v>
      </c>
      <c r="M69" s="2"/>
      <c r="N69" s="7">
        <f t="shared" si="40"/>
        <v>0.1085999999999999</v>
      </c>
      <c r="O69" s="11"/>
      <c r="P69" s="6">
        <v>4682.3</v>
      </c>
      <c r="Q69" s="2"/>
      <c r="R69" s="7">
        <f t="shared" si="41"/>
        <v>6.3641631138417656E-2</v>
      </c>
      <c r="S69" s="2"/>
      <c r="T69" s="6">
        <v>5100</v>
      </c>
      <c r="U69" s="2"/>
      <c r="V69" s="7">
        <f t="shared" si="42"/>
        <v>4.3069595399153809E-2</v>
      </c>
      <c r="W69" s="2"/>
      <c r="X69" s="6">
        <f t="shared" si="43"/>
        <v>-417.69999999999982</v>
      </c>
      <c r="Y69" s="2"/>
      <c r="Z69" s="7">
        <f t="shared" si="44"/>
        <v>-8.1901960784313693E-2</v>
      </c>
    </row>
    <row r="70" spans="1:26" s="24" customFormat="1" hidden="1" outlineLevel="2" x14ac:dyDescent="0.25">
      <c r="A70" s="28"/>
      <c r="B70" s="11" t="str">
        <f>CONCATENATE("          ", "6245", " - ", "PRINTING")</f>
        <v xml:space="preserve">          6245 - PRINTING</v>
      </c>
      <c r="C70" s="11"/>
      <c r="D70" s="6">
        <v>93.72</v>
      </c>
      <c r="E70" s="2"/>
      <c r="F70" s="7">
        <f t="shared" si="37"/>
        <v>5.8651980724701167E-2</v>
      </c>
      <c r="G70" s="2"/>
      <c r="H70" s="6">
        <v>200</v>
      </c>
      <c r="I70" s="2"/>
      <c r="J70" s="7">
        <f t="shared" si="38"/>
        <v>1.7857142857142856E-2</v>
      </c>
      <c r="K70" s="2"/>
      <c r="L70" s="6">
        <f t="shared" si="39"/>
        <v>-106.28</v>
      </c>
      <c r="M70" s="2"/>
      <c r="N70" s="7">
        <f t="shared" si="40"/>
        <v>-0.53139999999999998</v>
      </c>
      <c r="O70" s="11"/>
      <c r="P70" s="6">
        <v>439.61</v>
      </c>
      <c r="Q70" s="2"/>
      <c r="R70" s="7">
        <f t="shared" si="41"/>
        <v>5.9751612380154594E-3</v>
      </c>
      <c r="S70" s="2"/>
      <c r="T70" s="6">
        <v>1100</v>
      </c>
      <c r="U70" s="2"/>
      <c r="V70" s="7">
        <f t="shared" si="42"/>
        <v>9.2895205762880771E-3</v>
      </c>
      <c r="W70" s="2"/>
      <c r="X70" s="6">
        <f t="shared" si="43"/>
        <v>-660.39</v>
      </c>
      <c r="Y70" s="2"/>
      <c r="Z70" s="7">
        <f t="shared" si="44"/>
        <v>-0.60035454545454547</v>
      </c>
    </row>
    <row r="71" spans="1:26" s="24" customFormat="1" hidden="1" outlineLevel="2" x14ac:dyDescent="0.25">
      <c r="A71" s="28"/>
      <c r="B71" s="11" t="str">
        <f>CONCATENATE("          ", "6247", " - ", "STORE SUPPLIES")</f>
        <v xml:space="preserve">          6247 - STORE SUPPLIES</v>
      </c>
      <c r="C71" s="11"/>
      <c r="D71" s="6">
        <v>1159.74</v>
      </c>
      <c r="E71" s="2"/>
      <c r="F71" s="7">
        <f t="shared" si="37"/>
        <v>0.72579009950560103</v>
      </c>
      <c r="G71" s="2"/>
      <c r="H71" s="6">
        <v>100</v>
      </c>
      <c r="I71" s="2"/>
      <c r="J71" s="7">
        <f t="shared" si="38"/>
        <v>8.9285714285714281E-3</v>
      </c>
      <c r="K71" s="2"/>
      <c r="L71" s="6">
        <f t="shared" si="39"/>
        <v>1059.74</v>
      </c>
      <c r="M71" s="2"/>
      <c r="N71" s="7">
        <f t="shared" si="40"/>
        <v>10.5974</v>
      </c>
      <c r="O71" s="11"/>
      <c r="P71" s="6">
        <v>13843.93</v>
      </c>
      <c r="Q71" s="2"/>
      <c r="R71" s="7">
        <f t="shared" si="41"/>
        <v>0.18816613343144914</v>
      </c>
      <c r="S71" s="2"/>
      <c r="T71" s="6">
        <v>450</v>
      </c>
      <c r="U71" s="2"/>
      <c r="V71" s="7">
        <f t="shared" si="42"/>
        <v>3.800258417572395E-3</v>
      </c>
      <c r="W71" s="2"/>
      <c r="X71" s="6">
        <f t="shared" si="43"/>
        <v>13393.93</v>
      </c>
      <c r="Y71" s="2"/>
      <c r="Z71" s="7">
        <f t="shared" si="44"/>
        <v>29.764288888888888</v>
      </c>
    </row>
    <row r="72" spans="1:26" s="29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214.55</v>
      </c>
      <c r="E72" s="1"/>
      <c r="F72" s="5">
        <f t="shared" ref="F72:F75" si="45">IF(D$12=0,0,D72/D$12)</f>
        <v>0.13426997934789411</v>
      </c>
      <c r="G72" s="1"/>
      <c r="H72" s="1">
        <f>SUM(OSRRefH22_10x_0)</f>
        <v>165</v>
      </c>
      <c r="I72" s="1"/>
      <c r="J72" s="5">
        <f t="shared" ref="J72:J75" si="46">IF(H$12=0,0,H72/H$12)</f>
        <v>1.4732142857142857E-2</v>
      </c>
      <c r="K72" s="1"/>
      <c r="L72" s="1">
        <f t="shared" ref="L72:L75" si="47">+D72-H72</f>
        <v>49.550000000000011</v>
      </c>
      <c r="M72" s="1"/>
      <c r="N72" s="5">
        <f t="shared" ref="N72:N75" si="48">IF(H72=0,0,L72/H72)</f>
        <v>0.30030303030303035</v>
      </c>
      <c r="O72" s="14"/>
      <c r="P72" s="1">
        <f>SUM(OSRRefP22_10x_0)</f>
        <v>1073.7</v>
      </c>
      <c r="Q72" s="1"/>
      <c r="R72" s="5">
        <f t="shared" ref="R72:R75" si="49">IF(P$12=0,0,P72/P$12)</f>
        <v>1.4593686725181864E-2</v>
      </c>
      <c r="S72" s="1"/>
      <c r="T72" s="1">
        <f>SUM(OSRRefT22_10x_0)</f>
        <v>825</v>
      </c>
      <c r="U72" s="1"/>
      <c r="V72" s="5">
        <f t="shared" ref="V72:V75" si="50">IF(T$12=0,0,T72/T$12)</f>
        <v>6.9671404322160574E-3</v>
      </c>
      <c r="W72" s="1"/>
      <c r="X72" s="1">
        <f t="shared" ref="X72:X75" si="51">+P72-T72</f>
        <v>248.70000000000005</v>
      </c>
      <c r="Y72" s="1"/>
      <c r="Z72" s="5">
        <f t="shared" ref="Z72:Z75" si="52">IF(T72=0,0,X72/T72)</f>
        <v>0.30145454545454553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6">
        <v>214.55</v>
      </c>
      <c r="E73" s="2"/>
      <c r="F73" s="7">
        <f t="shared" si="45"/>
        <v>0.13426997934789411</v>
      </c>
      <c r="G73" s="2"/>
      <c r="H73" s="6">
        <v>165</v>
      </c>
      <c r="I73" s="2"/>
      <c r="J73" s="7">
        <f t="shared" si="46"/>
        <v>1.4732142857142857E-2</v>
      </c>
      <c r="K73" s="2"/>
      <c r="L73" s="6">
        <f t="shared" si="47"/>
        <v>49.550000000000011</v>
      </c>
      <c r="M73" s="2"/>
      <c r="N73" s="7">
        <f t="shared" si="48"/>
        <v>0.30030303030303035</v>
      </c>
      <c r="O73" s="11"/>
      <c r="P73" s="6">
        <v>1073.7</v>
      </c>
      <c r="Q73" s="2"/>
      <c r="R73" s="7">
        <f t="shared" si="49"/>
        <v>1.4593686725181864E-2</v>
      </c>
      <c r="S73" s="2"/>
      <c r="T73" s="6">
        <v>825</v>
      </c>
      <c r="U73" s="2"/>
      <c r="V73" s="7">
        <f t="shared" si="50"/>
        <v>6.9671404322160574E-3</v>
      </c>
      <c r="W73" s="2"/>
      <c r="X73" s="6">
        <f t="shared" si="51"/>
        <v>248.70000000000005</v>
      </c>
      <c r="Y73" s="2"/>
      <c r="Z73" s="7">
        <f t="shared" si="52"/>
        <v>0.30145454545454553</v>
      </c>
    </row>
    <row r="74" spans="1:26" s="29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5"/>
        <v>0</v>
      </c>
      <c r="G74" s="1"/>
      <c r="H74" s="1">
        <f>SUM(OSRRefH22_11x_0)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4"/>
      <c r="P74" s="1">
        <f>SUM(OSRRefP22_11x_0)</f>
        <v>15.02</v>
      </c>
      <c r="Q74" s="1"/>
      <c r="R74" s="5">
        <f t="shared" si="49"/>
        <v>2.0415122903253384E-4</v>
      </c>
      <c r="S74" s="1"/>
      <c r="T74" s="1">
        <f>SUM(OSRRefT22_11x_0)</f>
        <v>0</v>
      </c>
      <c r="U74" s="1"/>
      <c r="V74" s="5">
        <f t="shared" si="50"/>
        <v>0</v>
      </c>
      <c r="W74" s="1"/>
      <c r="X74" s="1">
        <f t="shared" si="51"/>
        <v>15.02</v>
      </c>
      <c r="Y74" s="1"/>
      <c r="Z74" s="5">
        <f t="shared" si="52"/>
        <v>0</v>
      </c>
    </row>
    <row r="75" spans="1:26" s="24" customFormat="1" hidden="1" outlineLevel="2" x14ac:dyDescent="0.25">
      <c r="A75" s="28"/>
      <c r="B75" s="11" t="str">
        <f>CONCATENATE("          ", "6274", " - ", "UTILITIES")</f>
        <v xml:space="preserve">          6274 - UTILITIES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15.02</v>
      </c>
      <c r="Q75" s="2"/>
      <c r="R75" s="7">
        <f t="shared" si="49"/>
        <v>2.0415122903253384E-4</v>
      </c>
      <c r="S75" s="2"/>
      <c r="T75" s="6"/>
      <c r="U75" s="2"/>
      <c r="V75" s="7">
        <f t="shared" si="50"/>
        <v>0</v>
      </c>
      <c r="W75" s="2"/>
      <c r="X75" s="6">
        <f t="shared" si="51"/>
        <v>15.02</v>
      </c>
      <c r="Y75" s="2"/>
      <c r="Z75" s="7">
        <f t="shared" si="52"/>
        <v>0</v>
      </c>
    </row>
    <row r="76" spans="1:26" s="62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6782</v>
      </c>
      <c r="E77" s="4"/>
      <c r="F77" s="12">
        <f t="shared" ref="F77:F78" si="53">IF(D$12=0,0,D77/D$12)</f>
        <v>4.2443206708805308</v>
      </c>
      <c r="G77" s="4"/>
      <c r="H77" s="4">
        <f>SUM(OSRRefH25x_0)</f>
        <v>6875</v>
      </c>
      <c r="I77" s="4"/>
      <c r="J77" s="12">
        <f t="shared" ref="J77:J78" si="54">IF(H$12=0,0,H77/H$12)</f>
        <v>0.6138392857142857</v>
      </c>
      <c r="K77" s="4"/>
      <c r="L77" s="4">
        <f t="shared" ref="L77:L78" si="55">+D77-H77</f>
        <v>-93</v>
      </c>
      <c r="M77" s="4"/>
      <c r="N77" s="12">
        <f t="shared" ref="N77:N78" si="56">IF(H77=0,0,L77/H77)</f>
        <v>-1.3527272727272728E-2</v>
      </c>
      <c r="O77" s="10"/>
      <c r="P77" s="4">
        <f>SUM(OSRRefP25x_0)</f>
        <v>33910</v>
      </c>
      <c r="Q77" s="4"/>
      <c r="R77" s="12">
        <f t="shared" ref="R77:R78" si="57">IF(P$12=0,0,P77/P$12)</f>
        <v>0.46090334064535438</v>
      </c>
      <c r="S77" s="4"/>
      <c r="T77" s="4">
        <f>SUM(OSRRefT25x_0)</f>
        <v>34375</v>
      </c>
      <c r="U77" s="4"/>
      <c r="V77" s="12">
        <f t="shared" ref="V77:V78" si="58">IF(T$12=0,0,T77/T$12)</f>
        <v>0.29029751800900239</v>
      </c>
      <c r="W77" s="4"/>
      <c r="X77" s="4">
        <f t="shared" ref="X77:X78" si="59">+P77-T77</f>
        <v>-465</v>
      </c>
      <c r="Y77" s="4"/>
      <c r="Z77" s="12">
        <f t="shared" ref="Z77:Z78" si="60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3"/>
        <v>4.2443206708805308</v>
      </c>
      <c r="G78" s="2"/>
      <c r="H78" s="2">
        <v>6875</v>
      </c>
      <c r="I78" s="2"/>
      <c r="J78" s="22">
        <f t="shared" si="54"/>
        <v>0.6138392857142857</v>
      </c>
      <c r="K78" s="2"/>
      <c r="L78" s="2">
        <f t="shared" si="55"/>
        <v>-93</v>
      </c>
      <c r="M78" s="2"/>
      <c r="N78" s="22">
        <f t="shared" si="56"/>
        <v>-1.3527272727272728E-2</v>
      </c>
      <c r="O78" s="11"/>
      <c r="P78" s="2">
        <f>--33910</f>
        <v>33910</v>
      </c>
      <c r="Q78" s="2"/>
      <c r="R78" s="22">
        <f t="shared" si="57"/>
        <v>0.46090334064535438</v>
      </c>
      <c r="S78" s="2"/>
      <c r="T78" s="2">
        <v>34375</v>
      </c>
      <c r="U78" s="2"/>
      <c r="V78" s="22">
        <f t="shared" si="58"/>
        <v>0.29029751800900239</v>
      </c>
      <c r="W78" s="2"/>
      <c r="X78" s="2">
        <f t="shared" si="59"/>
        <v>-465</v>
      </c>
      <c r="Y78" s="2"/>
      <c r="Z78" s="22">
        <f t="shared" si="60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1">
        <f>+D26-D28+D77</f>
        <v>-30800.15</v>
      </c>
      <c r="E80" s="13"/>
      <c r="F80" s="20">
        <f>IF(D$12=0,0,D80/D$12)</f>
        <v>-19.275392702922584</v>
      </c>
      <c r="G80" s="13"/>
      <c r="H80" s="21">
        <f>+H26-H28+H77</f>
        <v>-8276.9686169923443</v>
      </c>
      <c r="I80" s="13"/>
      <c r="J80" s="20">
        <f>IF(H$12=0,0,H80/H$12)</f>
        <v>-0.73901505508860221</v>
      </c>
      <c r="K80" s="16"/>
      <c r="L80" s="21">
        <f>+D80-H80</f>
        <v>-22523.181383007657</v>
      </c>
      <c r="M80" s="16"/>
      <c r="N80" s="20">
        <f>IF(H80=0,0,L80/H80)</f>
        <v>2.7211872395853121</v>
      </c>
      <c r="O80" s="26"/>
      <c r="P80" s="21">
        <f>+P26-P28+P77</f>
        <v>-52702.8299999999</v>
      </c>
      <c r="Q80" s="13"/>
      <c r="R80" s="20">
        <f>IF(P$12=0,0,P80/P$12)</f>
        <v>-0.71633472157075062</v>
      </c>
      <c r="S80" s="13"/>
      <c r="T80" s="21">
        <f>+T26-T28+T77</f>
        <v>-10028.24772345784</v>
      </c>
      <c r="U80" s="13"/>
      <c r="V80" s="20">
        <f>IF(T$12=0,0,T80/T$12)</f>
        <v>-8.46887396101597E-2</v>
      </c>
      <c r="W80" s="16"/>
      <c r="X80" s="21">
        <f>+P80-T80</f>
        <v>-42674.58227654206</v>
      </c>
      <c r="Y80" s="16"/>
      <c r="Z80" s="20">
        <f>IF(T80=0,0,X80/T80)</f>
        <v>4.2554375852441986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-3900.6</v>
      </c>
      <c r="E82" s="4"/>
      <c r="F82" s="12">
        <f>IF(D$12=0,0,D82/D$12)</f>
        <v>-2.4410789160773514</v>
      </c>
      <c r="G82" s="4"/>
      <c r="H82" s="4">
        <v>3566</v>
      </c>
      <c r="I82" s="4"/>
      <c r="J82" s="12">
        <f>IF(H$12=0,0,H82/H$12)</f>
        <v>0.31839285714285714</v>
      </c>
      <c r="K82" s="4"/>
      <c r="L82" s="4">
        <f>+D82-H82</f>
        <v>-7466.6</v>
      </c>
      <c r="M82" s="4"/>
      <c r="N82" s="12">
        <f>IF(H82=0,0,L82/H82)</f>
        <v>-2.0938306225462706</v>
      </c>
      <c r="O82" s="10"/>
      <c r="P82" s="4">
        <v>11690.74</v>
      </c>
      <c r="Q82" s="4"/>
      <c r="R82" s="12">
        <f>IF(P$12=0,0,P82/P$12)</f>
        <v>0.15890006253660482</v>
      </c>
      <c r="S82" s="4"/>
      <c r="T82" s="4">
        <v>21118</v>
      </c>
      <c r="U82" s="4"/>
      <c r="V82" s="12">
        <f>IF(T$12=0,0,T82/T$12)</f>
        <v>0.17834190502731964</v>
      </c>
      <c r="W82" s="4"/>
      <c r="X82" s="4">
        <f>+P82-T82</f>
        <v>-9427.26</v>
      </c>
      <c r="Y82" s="4"/>
      <c r="Z82" s="12">
        <f>IF(T82=0,0,X82/T82)</f>
        <v>-0.44640875082867698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1">
        <f>+D80-D82</f>
        <v>-26899.550000000003</v>
      </c>
      <c r="E84" s="13"/>
      <c r="F84" s="34">
        <f>IF(D$12=0,0,D84/D$12)</f>
        <v>-16.834313786845236</v>
      </c>
      <c r="G84" s="13"/>
      <c r="H84" s="31">
        <f>+H80-H82</f>
        <v>-11842.968616992344</v>
      </c>
      <c r="I84" s="13"/>
      <c r="J84" s="34">
        <f>IF(H$12=0,0,H84/H$12)</f>
        <v>-1.0574079122314592</v>
      </c>
      <c r="K84" s="16"/>
      <c r="L84" s="31">
        <f>D84-H84</f>
        <v>-15056.581383007659</v>
      </c>
      <c r="M84" s="16"/>
      <c r="N84" s="34">
        <f>IF(H84=0,0,L84/H84)</f>
        <v>1.2713519616529598</v>
      </c>
      <c r="O84" s="26"/>
      <c r="P84" s="31">
        <f>+P80-P82</f>
        <v>-64393.569999999898</v>
      </c>
      <c r="Q84" s="13"/>
      <c r="R84" s="34">
        <f>IF(P$12=0,0,P84/P$12)</f>
        <v>-0.87523478410735545</v>
      </c>
      <c r="S84" s="13"/>
      <c r="T84" s="31">
        <f>+T80-T82</f>
        <v>-31146.24772345784</v>
      </c>
      <c r="U84" s="13"/>
      <c r="V84" s="34">
        <f>IF(T$12=0,0,T84/T$12)</f>
        <v>-0.26303064463747933</v>
      </c>
      <c r="W84" s="16"/>
      <c r="X84" s="31">
        <f>P84-T84</f>
        <v>-33247.322276542058</v>
      </c>
      <c r="Y84" s="16"/>
      <c r="Z84" s="34">
        <f>IF(T84=0,0,X84/T84)</f>
        <v>1.0674583523427701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3">
        <f>SUM(D84:D86)</f>
        <v>-26899.550000000003</v>
      </c>
      <c r="E87" s="13"/>
      <c r="F87" s="30">
        <f>IF(D$12=0,0,D87/D$12)</f>
        <v>-16.834313786845236</v>
      </c>
      <c r="G87" s="13"/>
      <c r="H87" s="33">
        <f>SUM(H84:H86)</f>
        <v>-11842.968616992344</v>
      </c>
      <c r="I87" s="13"/>
      <c r="J87" s="30">
        <f>IF(H$12=0,0,H87/H$12)</f>
        <v>-1.0574079122314592</v>
      </c>
      <c r="K87" s="16"/>
      <c r="L87" s="33">
        <f>+D87-H87</f>
        <v>-15056.581383007659</v>
      </c>
      <c r="M87" s="16"/>
      <c r="N87" s="30">
        <f>IF(H87=0,0,L87/H87)</f>
        <v>1.2713519616529598</v>
      </c>
      <c r="O87" s="26"/>
      <c r="P87" s="33">
        <f>SUM(P84:P86)</f>
        <v>-64393.569999999898</v>
      </c>
      <c r="Q87" s="13"/>
      <c r="R87" s="30">
        <f>IF(P$12=0,0,P87/P$12)</f>
        <v>-0.87523478410735545</v>
      </c>
      <c r="S87" s="13"/>
      <c r="T87" s="33">
        <f>SUM(T84:T86)</f>
        <v>-31146.24772345784</v>
      </c>
      <c r="U87" s="13"/>
      <c r="V87" s="30">
        <f>IF(T$12=0,0,T87/T$12)</f>
        <v>-0.26303064463747933</v>
      </c>
      <c r="W87" s="16"/>
      <c r="X87" s="33">
        <f>+P87-T87</f>
        <v>-33247.322276542058</v>
      </c>
      <c r="Y87" s="16"/>
      <c r="Z87" s="30">
        <f>IF(T87=0,0,X87/T87)</f>
        <v>1.0674583523427701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5">
        <v>44174.679642476854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7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59781.37</v>
      </c>
      <c r="E12" s="4"/>
      <c r="F12" s="12"/>
      <c r="G12" s="4"/>
      <c r="H12" s="4">
        <f>SUM(OSRRefH13x_0)</f>
        <v>144432</v>
      </c>
      <c r="I12" s="4"/>
      <c r="J12" s="12"/>
      <c r="K12" s="4"/>
      <c r="L12" s="4">
        <f t="shared" ref="L12:L30" si="0">+D12-H12</f>
        <v>-84650.63</v>
      </c>
      <c r="M12" s="4"/>
      <c r="N12" s="12">
        <f t="shared" ref="N12:N30" si="1">IF(H12=0,0,L12/H12)</f>
        <v>-0.58609331727041103</v>
      </c>
      <c r="O12" s="10"/>
      <c r="P12" s="4">
        <f>SUM(OSRRefP13x_0)</f>
        <v>1195902.9000000004</v>
      </c>
      <c r="Q12" s="4"/>
      <c r="R12" s="12"/>
      <c r="S12" s="4"/>
      <c r="T12" s="4">
        <f>SUM(OSRRefT13x_0)</f>
        <v>1348997</v>
      </c>
      <c r="U12" s="4"/>
      <c r="V12" s="12"/>
      <c r="W12" s="4"/>
      <c r="X12" s="4">
        <f t="shared" ref="X12:X30" si="2">+P12-T12</f>
        <v>-153094.09999999963</v>
      </c>
      <c r="Y12" s="4"/>
      <c r="Z12" s="12">
        <f t="shared" ref="Z12:Z30" si="3">IF(T12=0,0,X12/T12)</f>
        <v>-0.1134873539377772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-142.02</f>
        <v>-142.02000000000001</v>
      </c>
      <c r="E13" s="2"/>
      <c r="F13" s="22"/>
      <c r="G13" s="2"/>
      <c r="H13" s="2">
        <v>137456</v>
      </c>
      <c r="I13" s="2"/>
      <c r="J13" s="22"/>
      <c r="K13" s="2"/>
      <c r="L13" s="2">
        <f t="shared" si="0"/>
        <v>-137598.01999999999</v>
      </c>
      <c r="M13" s="2"/>
      <c r="N13" s="22">
        <f t="shared" si="1"/>
        <v>-1.0010332033523455</v>
      </c>
      <c r="O13" s="11"/>
      <c r="P13" s="2">
        <f>-2044.11</f>
        <v>-2044.11</v>
      </c>
      <c r="Q13" s="2"/>
      <c r="R13" s="22"/>
      <c r="S13" s="2"/>
      <c r="T13" s="2">
        <v>1277711</v>
      </c>
      <c r="U13" s="2"/>
      <c r="V13" s="22"/>
      <c r="W13" s="2"/>
      <c r="X13" s="2">
        <f t="shared" si="2"/>
        <v>-1279755.1100000001</v>
      </c>
      <c r="Y13" s="2"/>
      <c r="Z13" s="22">
        <f t="shared" si="3"/>
        <v>-1.0015998218689517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--973.93</f>
        <v>973.93</v>
      </c>
      <c r="E14" s="2"/>
      <c r="F14" s="22"/>
      <c r="G14" s="2"/>
      <c r="H14" s="2"/>
      <c r="I14" s="2"/>
      <c r="J14" s="22"/>
      <c r="K14" s="2"/>
      <c r="L14" s="2">
        <f t="shared" si="0"/>
        <v>973.93</v>
      </c>
      <c r="M14" s="2"/>
      <c r="N14" s="22">
        <f t="shared" si="1"/>
        <v>0</v>
      </c>
      <c r="O14" s="11"/>
      <c r="P14" s="2">
        <f>--56019.27</f>
        <v>56019.27</v>
      </c>
      <c r="Q14" s="2"/>
      <c r="R14" s="22"/>
      <c r="S14" s="2"/>
      <c r="T14" s="2"/>
      <c r="U14" s="2"/>
      <c r="V14" s="22"/>
      <c r="W14" s="2"/>
      <c r="X14" s="2">
        <f t="shared" si="2"/>
        <v>56019.27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--57494.9</f>
        <v>57494.9</v>
      </c>
      <c r="E15" s="2"/>
      <c r="F15" s="22"/>
      <c r="G15" s="2"/>
      <c r="H15" s="2"/>
      <c r="I15" s="2"/>
      <c r="J15" s="22"/>
      <c r="K15" s="2"/>
      <c r="L15" s="2">
        <f t="shared" si="0"/>
        <v>57494.9</v>
      </c>
      <c r="M15" s="2"/>
      <c r="N15" s="22">
        <f t="shared" si="1"/>
        <v>0</v>
      </c>
      <c r="O15" s="11"/>
      <c r="P15" s="2">
        <f>--949594.89</f>
        <v>949594.89</v>
      </c>
      <c r="Q15" s="2"/>
      <c r="R15" s="22"/>
      <c r="S15" s="2"/>
      <c r="T15" s="2"/>
      <c r="U15" s="2"/>
      <c r="V15" s="22"/>
      <c r="W15" s="2"/>
      <c r="X15" s="2">
        <f t="shared" si="2"/>
        <v>949594.89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--4805.85</f>
        <v>4805.8500000000004</v>
      </c>
      <c r="E16" s="2"/>
      <c r="F16" s="22"/>
      <c r="G16" s="2"/>
      <c r="H16" s="2"/>
      <c r="I16" s="2"/>
      <c r="J16" s="22"/>
      <c r="K16" s="2"/>
      <c r="L16" s="2">
        <f t="shared" si="0"/>
        <v>4805.8500000000004</v>
      </c>
      <c r="M16" s="2"/>
      <c r="N16" s="22">
        <f t="shared" si="1"/>
        <v>0</v>
      </c>
      <c r="O16" s="11"/>
      <c r="P16" s="2">
        <f>--76850.95</f>
        <v>76850.95</v>
      </c>
      <c r="Q16" s="2"/>
      <c r="R16" s="22"/>
      <c r="S16" s="2"/>
      <c r="T16" s="2"/>
      <c r="U16" s="2"/>
      <c r="V16" s="22"/>
      <c r="W16" s="2"/>
      <c r="X16" s="2">
        <f t="shared" si="2"/>
        <v>76850.95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--378.99</f>
        <v>378.99</v>
      </c>
      <c r="E17" s="2"/>
      <c r="F17" s="22"/>
      <c r="G17" s="2"/>
      <c r="H17" s="2"/>
      <c r="I17" s="2"/>
      <c r="J17" s="22"/>
      <c r="K17" s="2"/>
      <c r="L17" s="2">
        <f t="shared" si="0"/>
        <v>378.99</v>
      </c>
      <c r="M17" s="2"/>
      <c r="N17" s="22">
        <f t="shared" si="1"/>
        <v>0</v>
      </c>
      <c r="O17" s="11"/>
      <c r="P17" s="2">
        <f>--1499.95</f>
        <v>1499.95</v>
      </c>
      <c r="Q17" s="2"/>
      <c r="R17" s="22"/>
      <c r="S17" s="2"/>
      <c r="T17" s="2"/>
      <c r="U17" s="2"/>
      <c r="V17" s="22"/>
      <c r="W17" s="2"/>
      <c r="X17" s="2">
        <f t="shared" si="2"/>
        <v>1499.95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--260.94</f>
        <v>260.94</v>
      </c>
      <c r="E18" s="2"/>
      <c r="F18" s="22"/>
      <c r="G18" s="2"/>
      <c r="H18" s="2"/>
      <c r="I18" s="2"/>
      <c r="J18" s="22"/>
      <c r="K18" s="2"/>
      <c r="L18" s="2">
        <f t="shared" si="0"/>
        <v>260.94</v>
      </c>
      <c r="M18" s="2"/>
      <c r="N18" s="22">
        <f t="shared" si="1"/>
        <v>0</v>
      </c>
      <c r="O18" s="11"/>
      <c r="P18" s="2">
        <f>--29627.6</f>
        <v>29627.599999999999</v>
      </c>
      <c r="Q18" s="2"/>
      <c r="R18" s="22"/>
      <c r="S18" s="2"/>
      <c r="T18" s="2"/>
      <c r="U18" s="2"/>
      <c r="V18" s="22"/>
      <c r="W18" s="2"/>
      <c r="X18" s="2">
        <f t="shared" si="2"/>
        <v>29627.599999999999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6976</v>
      </c>
      <c r="I19" s="2"/>
      <c r="J19" s="22"/>
      <c r="K19" s="2"/>
      <c r="L19" s="2">
        <f t="shared" si="0"/>
        <v>-6976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71286</v>
      </c>
      <c r="U19" s="2"/>
      <c r="V19" s="22"/>
      <c r="W19" s="2"/>
      <c r="X19" s="2">
        <f t="shared" si="2"/>
        <v>-71286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--29.99</f>
        <v>29.99</v>
      </c>
      <c r="E20" s="2"/>
      <c r="F20" s="22"/>
      <c r="G20" s="2"/>
      <c r="H20" s="2"/>
      <c r="I20" s="2"/>
      <c r="J20" s="22"/>
      <c r="K20" s="2"/>
      <c r="L20" s="2">
        <f t="shared" si="0"/>
        <v>29.99</v>
      </c>
      <c r="M20" s="2"/>
      <c r="N20" s="22">
        <f t="shared" si="1"/>
        <v>0</v>
      </c>
      <c r="O20" s="11"/>
      <c r="P20" s="2">
        <f>--3534.12</f>
        <v>3534.12</v>
      </c>
      <c r="Q20" s="2"/>
      <c r="R20" s="22"/>
      <c r="S20" s="2"/>
      <c r="T20" s="2"/>
      <c r="U20" s="2"/>
      <c r="V20" s="22"/>
      <c r="W20" s="2"/>
      <c r="X20" s="2">
        <f t="shared" si="2"/>
        <v>3534.12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--9499.97</f>
        <v>9499.9699999999993</v>
      </c>
      <c r="E21" s="2"/>
      <c r="F21" s="22"/>
      <c r="G21" s="2"/>
      <c r="H21" s="2"/>
      <c r="I21" s="2"/>
      <c r="J21" s="22"/>
      <c r="K21" s="2"/>
      <c r="L21" s="2">
        <f t="shared" si="0"/>
        <v>9499.9699999999993</v>
      </c>
      <c r="M21" s="2"/>
      <c r="N21" s="22">
        <f t="shared" si="1"/>
        <v>0</v>
      </c>
      <c r="O21" s="11"/>
      <c r="P21" s="2">
        <f>--154794.35</f>
        <v>154794.35</v>
      </c>
      <c r="Q21" s="2"/>
      <c r="R21" s="22"/>
      <c r="S21" s="2"/>
      <c r="T21" s="2"/>
      <c r="U21" s="2"/>
      <c r="V21" s="22"/>
      <c r="W21" s="2"/>
      <c r="X21" s="2">
        <f t="shared" si="2"/>
        <v>154794.35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--1033.89</f>
        <v>1033.8900000000001</v>
      </c>
      <c r="E22" s="2"/>
      <c r="F22" s="22"/>
      <c r="G22" s="2"/>
      <c r="H22" s="2"/>
      <c r="I22" s="2"/>
      <c r="J22" s="22"/>
      <c r="K22" s="2"/>
      <c r="L22" s="2">
        <f t="shared" si="0"/>
        <v>1033.8900000000001</v>
      </c>
      <c r="M22" s="2"/>
      <c r="N22" s="22">
        <f t="shared" si="1"/>
        <v>0</v>
      </c>
      <c r="O22" s="11"/>
      <c r="P22" s="2">
        <f>--7370.28</f>
        <v>7370.28</v>
      </c>
      <c r="Q22" s="2"/>
      <c r="R22" s="22"/>
      <c r="S22" s="2"/>
      <c r="T22" s="2"/>
      <c r="U22" s="2"/>
      <c r="V22" s="22"/>
      <c r="W22" s="2"/>
      <c r="X22" s="2">
        <f t="shared" si="2"/>
        <v>7370.28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--1989.89</f>
        <v>1989.89</v>
      </c>
      <c r="E23" s="2"/>
      <c r="F23" s="22"/>
      <c r="G23" s="2"/>
      <c r="H23" s="2"/>
      <c r="I23" s="2"/>
      <c r="J23" s="22"/>
      <c r="K23" s="2"/>
      <c r="L23" s="2">
        <f t="shared" si="0"/>
        <v>1989.89</v>
      </c>
      <c r="M23" s="2"/>
      <c r="N23" s="22">
        <f t="shared" si="1"/>
        <v>0</v>
      </c>
      <c r="O23" s="11"/>
      <c r="P23" s="2">
        <f>--25806.74</f>
        <v>25806.74</v>
      </c>
      <c r="Q23" s="2"/>
      <c r="R23" s="22"/>
      <c r="S23" s="2"/>
      <c r="T23" s="2"/>
      <c r="U23" s="2"/>
      <c r="V23" s="22"/>
      <c r="W23" s="2"/>
      <c r="X23" s="2">
        <f t="shared" si="2"/>
        <v>25806.74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--44</f>
        <v>44</v>
      </c>
      <c r="E24" s="2"/>
      <c r="F24" s="22"/>
      <c r="G24" s="2"/>
      <c r="H24" s="2"/>
      <c r="I24" s="2"/>
      <c r="J24" s="22"/>
      <c r="K24" s="2"/>
      <c r="L24" s="2">
        <f t="shared" si="0"/>
        <v>44</v>
      </c>
      <c r="M24" s="2"/>
      <c r="N24" s="22">
        <f t="shared" si="1"/>
        <v>0</v>
      </c>
      <c r="O24" s="11"/>
      <c r="P24" s="2">
        <f>--1773.77</f>
        <v>1773.77</v>
      </c>
      <c r="Q24" s="2"/>
      <c r="R24" s="22"/>
      <c r="S24" s="2"/>
      <c r="T24" s="2"/>
      <c r="U24" s="2"/>
      <c r="V24" s="22"/>
      <c r="W24" s="2"/>
      <c r="X24" s="2">
        <f t="shared" si="2"/>
        <v>1773.77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-15761.01</f>
        <v>-15761.01</v>
      </c>
      <c r="E26" s="2"/>
      <c r="F26" s="22"/>
      <c r="G26" s="2"/>
      <c r="H26" s="2"/>
      <c r="I26" s="2"/>
      <c r="J26" s="22"/>
      <c r="K26" s="2"/>
      <c r="L26" s="2">
        <f t="shared" si="0"/>
        <v>-15761.01</v>
      </c>
      <c r="M26" s="2"/>
      <c r="N26" s="22">
        <f t="shared" si="1"/>
        <v>0</v>
      </c>
      <c r="O26" s="11"/>
      <c r="P26" s="2">
        <f>-84084.01</f>
        <v>-84084.01</v>
      </c>
      <c r="Q26" s="2"/>
      <c r="R26" s="22"/>
      <c r="S26" s="2"/>
      <c r="T26" s="2"/>
      <c r="U26" s="2"/>
      <c r="V26" s="22"/>
      <c r="W26" s="2"/>
      <c r="X26" s="2">
        <f t="shared" si="2"/>
        <v>-84084.01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-678.96</f>
        <v>-678.96</v>
      </c>
      <c r="E27" s="2"/>
      <c r="F27" s="22"/>
      <c r="G27" s="2"/>
      <c r="H27" s="2"/>
      <c r="I27" s="2"/>
      <c r="J27" s="22"/>
      <c r="K27" s="2"/>
      <c r="L27" s="2">
        <f t="shared" si="0"/>
        <v>-678.96</v>
      </c>
      <c r="M27" s="2"/>
      <c r="N27" s="22">
        <f t="shared" si="1"/>
        <v>0</v>
      </c>
      <c r="O27" s="11"/>
      <c r="P27" s="2">
        <f>-3311.27</f>
        <v>-3311.27</v>
      </c>
      <c r="Q27" s="2"/>
      <c r="R27" s="22"/>
      <c r="S27" s="2"/>
      <c r="T27" s="2"/>
      <c r="U27" s="2"/>
      <c r="V27" s="22"/>
      <c r="W27" s="2"/>
      <c r="X27" s="2">
        <f t="shared" si="2"/>
        <v>-3311.27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-139</f>
        <v>-139</v>
      </c>
      <c r="E28" s="2"/>
      <c r="F28" s="22"/>
      <c r="G28" s="2"/>
      <c r="H28" s="2"/>
      <c r="I28" s="2"/>
      <c r="J28" s="22"/>
      <c r="K28" s="2"/>
      <c r="L28" s="2">
        <f t="shared" si="0"/>
        <v>-139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-9.99</f>
        <v>-9.99</v>
      </c>
      <c r="E29" s="2"/>
      <c r="F29" s="22"/>
      <c r="G29" s="2"/>
      <c r="H29" s="2"/>
      <c r="I29" s="2"/>
      <c r="J29" s="22"/>
      <c r="K29" s="2"/>
      <c r="L29" s="2">
        <f t="shared" si="0"/>
        <v>-9.99</v>
      </c>
      <c r="M29" s="2"/>
      <c r="N29" s="22">
        <f t="shared" si="1"/>
        <v>0</v>
      </c>
      <c r="O29" s="11"/>
      <c r="P29" s="2">
        <f>-581.35</f>
        <v>-581.35</v>
      </c>
      <c r="Q29" s="2"/>
      <c r="R29" s="22"/>
      <c r="S29" s="2"/>
      <c r="T29" s="2"/>
      <c r="U29" s="2"/>
      <c r="V29" s="22"/>
      <c r="W29" s="2"/>
      <c r="X29" s="2">
        <f t="shared" si="2"/>
        <v>-581.35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60363.839999999997</v>
      </c>
      <c r="E32" s="4"/>
      <c r="F32" s="12">
        <f t="shared" ref="F32:F43" si="4">IF(D$12=0,0,D32/D$12)</f>
        <v>1.0097433364273851</v>
      </c>
      <c r="G32" s="4"/>
      <c r="H32" s="4">
        <f>SUM(OSRRefH16x_0)</f>
        <v>112796</v>
      </c>
      <c r="I32" s="4"/>
      <c r="J32" s="12">
        <f t="shared" ref="J32:J43" si="5">IF(H$12=0,0,H32/H$12)</f>
        <v>0.78096266755289689</v>
      </c>
      <c r="K32" s="4"/>
      <c r="L32" s="4">
        <f t="shared" ref="L32:L43" si="6">+D32-H32</f>
        <v>-52432.160000000003</v>
      </c>
      <c r="M32" s="4"/>
      <c r="N32" s="12">
        <f t="shared" ref="N32:N43" si="7">IF(H32=0,0,L32/H32)</f>
        <v>-0.46484059718429732</v>
      </c>
      <c r="O32" s="10"/>
      <c r="P32" s="4">
        <f>SUM(OSRRefP16x_0)</f>
        <v>1141638.8400000001</v>
      </c>
      <c r="Q32" s="4"/>
      <c r="R32" s="12">
        <f t="shared" ref="R32:R43" si="8">IF(P$12=0,0,P32/P$12)</f>
        <v>0.95462502850356812</v>
      </c>
      <c r="S32" s="4"/>
      <c r="T32" s="4">
        <f>SUM(OSRRefT16x_0)</f>
        <v>1053516</v>
      </c>
      <c r="U32" s="4"/>
      <c r="V32" s="12">
        <f t="shared" ref="V32:V43" si="9">IF(T$12=0,0,T32/T$12)</f>
        <v>0.78096244839684592</v>
      </c>
      <c r="W32" s="4"/>
      <c r="X32" s="4">
        <f t="shared" ref="X32:X43" si="10">+P32-T32</f>
        <v>88122.840000000084</v>
      </c>
      <c r="Y32" s="4"/>
      <c r="Z32" s="12">
        <f t="shared" ref="Z32:Z43" si="11">IF(T32=0,0,X32/T32)</f>
        <v>8.3646418279361756E-2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112796</v>
      </c>
      <c r="I33" s="2"/>
      <c r="J33" s="22">
        <f t="shared" si="5"/>
        <v>0.78096266755289689</v>
      </c>
      <c r="K33" s="2"/>
      <c r="L33" s="2">
        <f t="shared" si="6"/>
        <v>-112796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1053516</v>
      </c>
      <c r="U33" s="2"/>
      <c r="V33" s="22">
        <f t="shared" si="9"/>
        <v>0.78096244839684592</v>
      </c>
      <c r="W33" s="2"/>
      <c r="X33" s="2">
        <f t="shared" si="10"/>
        <v>-1053516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2367.86</v>
      </c>
      <c r="E34" s="2"/>
      <c r="F34" s="22">
        <f t="shared" si="4"/>
        <v>3.9608660691449527E-2</v>
      </c>
      <c r="G34" s="2"/>
      <c r="H34" s="2"/>
      <c r="I34" s="2"/>
      <c r="J34" s="22">
        <f t="shared" si="5"/>
        <v>0</v>
      </c>
      <c r="K34" s="2"/>
      <c r="L34" s="2">
        <f t="shared" si="6"/>
        <v>2367.86</v>
      </c>
      <c r="M34" s="2"/>
      <c r="N34" s="22">
        <f t="shared" si="7"/>
        <v>0</v>
      </c>
      <c r="O34" s="11"/>
      <c r="P34" s="2">
        <v>24315.070000000003</v>
      </c>
      <c r="Q34" s="2"/>
      <c r="R34" s="22">
        <f t="shared" si="8"/>
        <v>2.0331976785071763E-2</v>
      </c>
      <c r="S34" s="2"/>
      <c r="T34" s="2"/>
      <c r="U34" s="2"/>
      <c r="V34" s="22">
        <f t="shared" si="9"/>
        <v>0</v>
      </c>
      <c r="W34" s="2"/>
      <c r="X34" s="2">
        <f t="shared" si="10"/>
        <v>24315.070000000003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71242.03</v>
      </c>
      <c r="E35" s="2"/>
      <c r="F35" s="22">
        <f t="shared" si="4"/>
        <v>1.1917095576765804</v>
      </c>
      <c r="G35" s="2"/>
      <c r="H35" s="2"/>
      <c r="I35" s="2"/>
      <c r="J35" s="22">
        <f t="shared" si="5"/>
        <v>0</v>
      </c>
      <c r="K35" s="2"/>
      <c r="L35" s="2">
        <f t="shared" si="6"/>
        <v>71242.03</v>
      </c>
      <c r="M35" s="2"/>
      <c r="N35" s="22">
        <f t="shared" si="7"/>
        <v>0</v>
      </c>
      <c r="O35" s="11"/>
      <c r="P35" s="2">
        <v>960020.1100000001</v>
      </c>
      <c r="Q35" s="2"/>
      <c r="R35" s="22">
        <f t="shared" si="8"/>
        <v>0.80275757337823983</v>
      </c>
      <c r="S35" s="2"/>
      <c r="T35" s="2"/>
      <c r="U35" s="2"/>
      <c r="V35" s="22">
        <f t="shared" si="9"/>
        <v>0</v>
      </c>
      <c r="W35" s="2"/>
      <c r="X35" s="2">
        <f t="shared" si="10"/>
        <v>960020.1100000001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2620.17</v>
      </c>
      <c r="E36" s="2"/>
      <c r="F36" s="22">
        <f t="shared" si="4"/>
        <v>4.3829206322973192E-2</v>
      </c>
      <c r="G36" s="2"/>
      <c r="H36" s="2"/>
      <c r="I36" s="2"/>
      <c r="J36" s="22">
        <f t="shared" si="5"/>
        <v>0</v>
      </c>
      <c r="K36" s="2"/>
      <c r="L36" s="2">
        <f t="shared" si="6"/>
        <v>2620.17</v>
      </c>
      <c r="M36" s="2"/>
      <c r="N36" s="22">
        <f t="shared" si="7"/>
        <v>0</v>
      </c>
      <c r="O36" s="11"/>
      <c r="P36" s="2">
        <v>75893.119999999995</v>
      </c>
      <c r="Q36" s="2"/>
      <c r="R36" s="22">
        <f t="shared" si="8"/>
        <v>6.3460938174830062E-2</v>
      </c>
      <c r="S36" s="2"/>
      <c r="T36" s="2"/>
      <c r="U36" s="2"/>
      <c r="V36" s="22">
        <f t="shared" si="9"/>
        <v>0</v>
      </c>
      <c r="W36" s="2"/>
      <c r="X36" s="2">
        <f t="shared" si="10"/>
        <v>75893.119999999995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3394.72</v>
      </c>
      <c r="E37" s="2"/>
      <c r="F37" s="22">
        <f t="shared" si="4"/>
        <v>5.6785583870025053E-2</v>
      </c>
      <c r="G37" s="2"/>
      <c r="H37" s="2"/>
      <c r="I37" s="2"/>
      <c r="J37" s="22">
        <f t="shared" si="5"/>
        <v>0</v>
      </c>
      <c r="K37" s="2"/>
      <c r="L37" s="2">
        <f t="shared" si="6"/>
        <v>3394.72</v>
      </c>
      <c r="M37" s="2"/>
      <c r="N37" s="22">
        <f t="shared" si="7"/>
        <v>0</v>
      </c>
      <c r="O37" s="11"/>
      <c r="P37" s="2">
        <v>24075.919999999998</v>
      </c>
      <c r="Q37" s="2"/>
      <c r="R37" s="22">
        <f t="shared" si="8"/>
        <v>2.0132002355709642E-2</v>
      </c>
      <c r="S37" s="2"/>
      <c r="T37" s="2"/>
      <c r="U37" s="2"/>
      <c r="V37" s="22">
        <f t="shared" si="9"/>
        <v>0</v>
      </c>
      <c r="W37" s="2"/>
      <c r="X37" s="2">
        <f t="shared" si="10"/>
        <v>24075.919999999998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189.17</v>
      </c>
      <c r="E38" s="2"/>
      <c r="F38" s="22">
        <f t="shared" si="4"/>
        <v>3.1643637474350283E-3</v>
      </c>
      <c r="G38" s="2"/>
      <c r="H38" s="2"/>
      <c r="I38" s="2"/>
      <c r="J38" s="22">
        <f t="shared" si="5"/>
        <v>0</v>
      </c>
      <c r="K38" s="2"/>
      <c r="L38" s="2">
        <f t="shared" si="6"/>
        <v>189.17</v>
      </c>
      <c r="M38" s="2"/>
      <c r="N38" s="22">
        <f t="shared" si="7"/>
        <v>0</v>
      </c>
      <c r="O38" s="11"/>
      <c r="P38" s="2">
        <v>22718.609999999997</v>
      </c>
      <c r="Q38" s="2"/>
      <c r="R38" s="22">
        <f t="shared" si="8"/>
        <v>1.8997035628895948E-2</v>
      </c>
      <c r="S38" s="2"/>
      <c r="T38" s="2"/>
      <c r="U38" s="2"/>
      <c r="V38" s="22">
        <f t="shared" si="9"/>
        <v>0</v>
      </c>
      <c r="W38" s="2"/>
      <c r="X38" s="2">
        <f t="shared" si="10"/>
        <v>22718.609999999997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-75868.11</v>
      </c>
      <c r="E39" s="2"/>
      <c r="F39" s="22">
        <f t="shared" si="4"/>
        <v>-1.2690928628768461</v>
      </c>
      <c r="G39" s="2"/>
      <c r="H39" s="2"/>
      <c r="I39" s="2"/>
      <c r="J39" s="22">
        <f t="shared" si="5"/>
        <v>0</v>
      </c>
      <c r="K39" s="2"/>
      <c r="L39" s="2">
        <f t="shared" si="6"/>
        <v>-75868.11</v>
      </c>
      <c r="M39" s="2"/>
      <c r="N39" s="22">
        <f t="shared" si="7"/>
        <v>0</v>
      </c>
      <c r="O39" s="11"/>
      <c r="P39" s="2">
        <v>-1103420.28</v>
      </c>
      <c r="Q39" s="2"/>
      <c r="R39" s="22">
        <f t="shared" si="8"/>
        <v>-0.92266711620149067</v>
      </c>
      <c r="S39" s="2"/>
      <c r="T39" s="2"/>
      <c r="U39" s="2"/>
      <c r="V39" s="22">
        <f t="shared" si="9"/>
        <v>0</v>
      </c>
      <c r="W39" s="2"/>
      <c r="X39" s="2">
        <f t="shared" si="10"/>
        <v>-1103420.28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56418</v>
      </c>
      <c r="E40" s="2"/>
      <c r="F40" s="22">
        <f t="shared" si="4"/>
        <v>0.94373882699576805</v>
      </c>
      <c r="G40" s="2"/>
      <c r="H40" s="2"/>
      <c r="I40" s="2"/>
      <c r="J40" s="22">
        <f t="shared" si="5"/>
        <v>0</v>
      </c>
      <c r="K40" s="2"/>
      <c r="L40" s="2">
        <f t="shared" si="6"/>
        <v>56418</v>
      </c>
      <c r="M40" s="2"/>
      <c r="N40" s="22">
        <f t="shared" si="7"/>
        <v>0</v>
      </c>
      <c r="O40" s="11"/>
      <c r="P40" s="2">
        <v>1137693</v>
      </c>
      <c r="Q40" s="2"/>
      <c r="R40" s="22">
        <f t="shared" si="8"/>
        <v>0.95132556330451212</v>
      </c>
      <c r="S40" s="2"/>
      <c r="T40" s="2"/>
      <c r="U40" s="2"/>
      <c r="V40" s="22">
        <f t="shared" si="9"/>
        <v>0</v>
      </c>
      <c r="W40" s="2"/>
      <c r="X40" s="2">
        <f t="shared" si="10"/>
        <v>1137693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94</v>
      </c>
      <c r="Q41" s="2"/>
      <c r="R41" s="22">
        <f t="shared" si="8"/>
        <v>7.8601699184774925E-5</v>
      </c>
      <c r="S41" s="2"/>
      <c r="T41" s="2"/>
      <c r="U41" s="2"/>
      <c r="V41" s="22">
        <f t="shared" si="9"/>
        <v>0</v>
      </c>
      <c r="W41" s="2"/>
      <c r="X41" s="2">
        <f t="shared" si="10"/>
        <v>94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225.17</v>
      </c>
      <c r="Q42" s="2"/>
      <c r="R42" s="22">
        <f t="shared" si="8"/>
        <v>1.8828451707910392E-4</v>
      </c>
      <c r="S42" s="2"/>
      <c r="T42" s="2"/>
      <c r="U42" s="2"/>
      <c r="V42" s="22">
        <f t="shared" si="9"/>
        <v>0</v>
      </c>
      <c r="W42" s="2"/>
      <c r="X42" s="2">
        <f t="shared" si="10"/>
        <v>225.17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2.0168861535497566E-5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5" t="s">
        <v>6</v>
      </c>
      <c r="C45" s="25"/>
      <c r="D45" s="21">
        <f>D12-D32</f>
        <v>-582.46999999999389</v>
      </c>
      <c r="E45" s="13"/>
      <c r="F45" s="20">
        <f>IF(D$12=0,0,D45/D$12)</f>
        <v>-9.7433364273852175E-3</v>
      </c>
      <c r="G45" s="13"/>
      <c r="H45" s="21">
        <f>H12-H32</f>
        <v>31636</v>
      </c>
      <c r="I45" s="13"/>
      <c r="J45" s="20">
        <f>IF(H$12=0,0,H45/H$12)</f>
        <v>0.21903733244710313</v>
      </c>
      <c r="K45" s="16"/>
      <c r="L45" s="21">
        <f>+D45-H45</f>
        <v>-32218.469999999994</v>
      </c>
      <c r="M45" s="16"/>
      <c r="N45" s="20">
        <f>IF(H45=0,0,L45/H45)</f>
        <v>-1.0184116196737891</v>
      </c>
      <c r="O45" s="26"/>
      <c r="P45" s="21">
        <f>P12-P32</f>
        <v>54264.060000000289</v>
      </c>
      <c r="Q45" s="13"/>
      <c r="R45" s="20">
        <f>IF(P$12=0,0,P45/P$12)</f>
        <v>4.5374971496431916E-2</v>
      </c>
      <c r="S45" s="13"/>
      <c r="T45" s="21">
        <f>T12-T32</f>
        <v>295481</v>
      </c>
      <c r="U45" s="13"/>
      <c r="V45" s="20">
        <f>IF(T$12=0,0,T45/T$12)</f>
        <v>0.21903755160315405</v>
      </c>
      <c r="W45" s="16"/>
      <c r="X45" s="21">
        <f>+P45-T45</f>
        <v>-241216.93999999971</v>
      </c>
      <c r="Y45" s="16"/>
      <c r="Z45" s="20">
        <f>IF(T45=0,0,X45/T45)</f>
        <v>-0.81635347111996948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9</v>
      </c>
      <c r="C47" s="10"/>
      <c r="D47" s="19">
        <f>SUM(OSRRefD22x_0)</f>
        <v>12478.91</v>
      </c>
      <c r="E47" s="19"/>
      <c r="F47" s="35">
        <f t="shared" ref="F47:F58" si="12">IF(D$12=0,0,D47/D$12)</f>
        <v>0.2087424560527803</v>
      </c>
      <c r="G47" s="19"/>
      <c r="H47" s="19">
        <f>SUM(OSRRefH22x_0)</f>
        <v>16902.909202846153</v>
      </c>
      <c r="I47" s="19"/>
      <c r="J47" s="35">
        <f t="shared" ref="J47:J58" si="13">IF(H$12=0,0,H47/H$12)</f>
        <v>0.11703022323893703</v>
      </c>
      <c r="K47" s="4"/>
      <c r="L47" s="19">
        <f t="shared" ref="L47:L58" si="14">+D47-H47</f>
        <v>-4423.9992028461529</v>
      </c>
      <c r="M47" s="4"/>
      <c r="N47" s="35">
        <f t="shared" ref="N47:N58" si="15">IF(H47=0,0,L47/H47)</f>
        <v>-0.26173004597937671</v>
      </c>
      <c r="O47" s="10"/>
      <c r="P47" s="19">
        <f>SUM(OSRRefP22x_0)</f>
        <v>66383.699999999983</v>
      </c>
      <c r="Q47" s="19"/>
      <c r="R47" s="35">
        <f t="shared" ref="R47:R58" si="16">IF(P$12=0,0,P47/P$12)</f>
        <v>5.5509272533748322E-2</v>
      </c>
      <c r="S47" s="19"/>
      <c r="T47" s="19">
        <f>SUM(OSRRefT22x_0)</f>
        <v>98202.848285653832</v>
      </c>
      <c r="U47" s="19"/>
      <c r="V47" s="35">
        <f t="shared" ref="V47:V58" si="17">IF(T$12=0,0,T47/T$12)</f>
        <v>7.2796936009237853E-2</v>
      </c>
      <c r="W47" s="4"/>
      <c r="X47" s="19">
        <f t="shared" ref="X47:X58" si="18">+P47-T47</f>
        <v>-31819.14828565385</v>
      </c>
      <c r="Y47" s="4"/>
      <c r="Z47" s="35">
        <f t="shared" ref="Z47:Z58" si="19">IF(T47=0,0,X47/T47)</f>
        <v>-0.32401451527248842</v>
      </c>
    </row>
    <row r="48" spans="1:26" s="29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2874.4300000000003</v>
      </c>
      <c r="E48" s="1"/>
      <c r="F48" s="5">
        <f t="shared" si="12"/>
        <v>4.8082370812177776E-2</v>
      </c>
      <c r="G48" s="1"/>
      <c r="H48" s="1">
        <f>SUM(OSRRefH22_0x_0)</f>
        <v>2406.2742028461539</v>
      </c>
      <c r="I48" s="1"/>
      <c r="J48" s="5">
        <f t="shared" si="13"/>
        <v>1.6660256749516409E-2</v>
      </c>
      <c r="K48" s="1"/>
      <c r="L48" s="1">
        <f t="shared" si="14"/>
        <v>468.15579715384638</v>
      </c>
      <c r="M48" s="1"/>
      <c r="N48" s="5">
        <f t="shared" si="15"/>
        <v>0.19455629645204575</v>
      </c>
      <c r="O48" s="14"/>
      <c r="P48" s="1">
        <f>SUM(OSRRefP22_0x_0)</f>
        <v>14834.34</v>
      </c>
      <c r="Q48" s="1"/>
      <c r="R48" s="5">
        <f t="shared" si="16"/>
        <v>1.2404301386007172E-2</v>
      </c>
      <c r="S48" s="1"/>
      <c r="T48" s="1">
        <f>SUM(OSRRefT22_0x_0)</f>
        <v>13279.150785653843</v>
      </c>
      <c r="U48" s="1"/>
      <c r="V48" s="5">
        <f t="shared" si="17"/>
        <v>9.8437215098727739E-3</v>
      </c>
      <c r="W48" s="1"/>
      <c r="X48" s="1">
        <f t="shared" si="18"/>
        <v>1555.1892143461573</v>
      </c>
      <c r="Y48" s="1"/>
      <c r="Z48" s="5">
        <f t="shared" si="19"/>
        <v>0.11711511070619886</v>
      </c>
    </row>
    <row r="49" spans="1:26" s="24" customFormat="1" hidden="1" outlineLevel="2" x14ac:dyDescent="0.25">
      <c r="A49" s="28"/>
      <c r="B49" s="11" t="str">
        <f>CONCATENATE("          ", "6111", " - ", "F.I.C.A.")</f>
        <v xml:space="preserve">          6111 - F.I.C.A.</v>
      </c>
      <c r="C49" s="11"/>
      <c r="D49" s="6">
        <v>448.03</v>
      </c>
      <c r="E49" s="2"/>
      <c r="F49" s="7">
        <f t="shared" si="12"/>
        <v>7.4944752855279151E-3</v>
      </c>
      <c r="G49" s="2"/>
      <c r="H49" s="6">
        <v>425.68281899999999</v>
      </c>
      <c r="I49" s="2"/>
      <c r="J49" s="7">
        <f t="shared" si="13"/>
        <v>2.9472888210368892E-3</v>
      </c>
      <c r="K49" s="2"/>
      <c r="L49" s="6">
        <f t="shared" si="14"/>
        <v>22.347180999999978</v>
      </c>
      <c r="M49" s="2"/>
      <c r="N49" s="7">
        <f t="shared" si="15"/>
        <v>5.2497258528068476E-2</v>
      </c>
      <c r="O49" s="11"/>
      <c r="P49" s="6">
        <v>2947.04</v>
      </c>
      <c r="Q49" s="2"/>
      <c r="R49" s="7">
        <f t="shared" si="16"/>
        <v>2.4642803358031818E-3</v>
      </c>
      <c r="S49" s="2"/>
      <c r="T49" s="6">
        <v>2768.5990244999998</v>
      </c>
      <c r="U49" s="2"/>
      <c r="V49" s="7">
        <f t="shared" si="17"/>
        <v>2.0523389040153534E-3</v>
      </c>
      <c r="W49" s="2"/>
      <c r="X49" s="6">
        <f t="shared" si="18"/>
        <v>178.44097550000015</v>
      </c>
      <c r="Y49" s="2"/>
      <c r="Z49" s="7">
        <f t="shared" si="19"/>
        <v>6.4451722304650461E-2</v>
      </c>
    </row>
    <row r="50" spans="1:26" s="24" customFormat="1" hidden="1" outlineLevel="2" x14ac:dyDescent="0.25">
      <c r="A50" s="28"/>
      <c r="B50" s="11" t="str">
        <f>CONCATENATE("          ", "6112", " - ", "COMPENSATION INSURANCE")</f>
        <v xml:space="preserve">          6112 - COMPENSATION INSURANCE</v>
      </c>
      <c r="C50" s="11"/>
      <c r="D50" s="6">
        <v>256.8</v>
      </c>
      <c r="E50" s="2"/>
      <c r="F50" s="7">
        <f t="shared" si="12"/>
        <v>4.2956526422863843E-3</v>
      </c>
      <c r="G50" s="2"/>
      <c r="H50" s="6">
        <v>189.64904999999999</v>
      </c>
      <c r="I50" s="2"/>
      <c r="J50" s="7">
        <f t="shared" si="13"/>
        <v>1.3130680874044532E-3</v>
      </c>
      <c r="K50" s="2"/>
      <c r="L50" s="6">
        <f t="shared" si="14"/>
        <v>67.150950000000023</v>
      </c>
      <c r="M50" s="2"/>
      <c r="N50" s="7">
        <f t="shared" si="15"/>
        <v>0.35408007580317447</v>
      </c>
      <c r="O50" s="11"/>
      <c r="P50" s="6">
        <v>725.73</v>
      </c>
      <c r="Q50" s="2"/>
      <c r="R50" s="7">
        <f t="shared" si="16"/>
        <v>6.0684692712092243E-4</v>
      </c>
      <c r="S50" s="2"/>
      <c r="T50" s="6">
        <v>996.38502499999993</v>
      </c>
      <c r="U50" s="2"/>
      <c r="V50" s="7">
        <f t="shared" si="17"/>
        <v>7.3861174265028016E-4</v>
      </c>
      <c r="W50" s="2"/>
      <c r="X50" s="6">
        <f t="shared" si="18"/>
        <v>-270.65502499999991</v>
      </c>
      <c r="Y50" s="2"/>
      <c r="Z50" s="7">
        <f t="shared" si="19"/>
        <v>-0.27163698591315133</v>
      </c>
    </row>
    <row r="51" spans="1:26" s="24" customFormat="1" hidden="1" outlineLevel="2" x14ac:dyDescent="0.25">
      <c r="A51" s="28"/>
      <c r="B51" s="11" t="str">
        <f>CONCATENATE("          ", "6113", " - ", "GROUP INSURANCE")</f>
        <v xml:space="preserve">          6113 - GROUP INSURANCE</v>
      </c>
      <c r="C51" s="11"/>
      <c r="D51" s="6">
        <v>1035.69</v>
      </c>
      <c r="E51" s="2"/>
      <c r="F51" s="7">
        <f t="shared" si="12"/>
        <v>1.7324628057202435E-2</v>
      </c>
      <c r="G51" s="2"/>
      <c r="H51" s="6">
        <v>946.34615384615404</v>
      </c>
      <c r="I51" s="2"/>
      <c r="J51" s="7">
        <f t="shared" si="13"/>
        <v>6.5521917154519362E-3</v>
      </c>
      <c r="K51" s="2"/>
      <c r="L51" s="6">
        <f t="shared" si="14"/>
        <v>89.343846153846016</v>
      </c>
      <c r="M51" s="2"/>
      <c r="N51" s="7">
        <f t="shared" si="15"/>
        <v>9.4409266409266238E-2</v>
      </c>
      <c r="O51" s="11"/>
      <c r="P51" s="6">
        <v>5178.45</v>
      </c>
      <c r="Q51" s="2"/>
      <c r="R51" s="7">
        <f t="shared" si="16"/>
        <v>4.3301592462063583E-3</v>
      </c>
      <c r="S51" s="2"/>
      <c r="T51" s="6">
        <v>5038.6538461538421</v>
      </c>
      <c r="U51" s="2"/>
      <c r="V51" s="7">
        <f t="shared" si="17"/>
        <v>3.7351112316438375E-3</v>
      </c>
      <c r="W51" s="2"/>
      <c r="X51" s="6">
        <f t="shared" si="18"/>
        <v>139.79615384615772</v>
      </c>
      <c r="Y51" s="2"/>
      <c r="Z51" s="7">
        <f t="shared" si="19"/>
        <v>2.7744742567078384E-2</v>
      </c>
    </row>
    <row r="52" spans="1:26" s="24" customFormat="1" hidden="1" outlineLevel="2" x14ac:dyDescent="0.25">
      <c r="A52" s="28"/>
      <c r="B52" s="11" t="str">
        <f>CONCATENATE("          ", "6114", " - ", "STATE UNEMPLOYMENT INSURANCE")</f>
        <v xml:space="preserve">          6114 - STATE UNEMPLOYMENT INSURANCE</v>
      </c>
      <c r="C52" s="11"/>
      <c r="D52" s="6">
        <v>36.090000000000003</v>
      </c>
      <c r="E52" s="2"/>
      <c r="F52" s="7">
        <f t="shared" si="12"/>
        <v>6.0369978138674304E-4</v>
      </c>
      <c r="G52" s="2"/>
      <c r="H52" s="6">
        <v>26.653379999999999</v>
      </c>
      <c r="I52" s="2"/>
      <c r="J52" s="7">
        <f t="shared" si="13"/>
        <v>1.845392987703556E-4</v>
      </c>
      <c r="K52" s="2"/>
      <c r="L52" s="6">
        <f t="shared" si="14"/>
        <v>9.4366200000000049</v>
      </c>
      <c r="M52" s="2"/>
      <c r="N52" s="7">
        <f t="shared" si="15"/>
        <v>0.3540496552407239</v>
      </c>
      <c r="O52" s="11"/>
      <c r="P52" s="6">
        <v>116.69</v>
      </c>
      <c r="Q52" s="2"/>
      <c r="R52" s="7">
        <f t="shared" si="16"/>
        <v>9.7574811466716871E-5</v>
      </c>
      <c r="S52" s="2"/>
      <c r="T52" s="6">
        <v>140.03249</v>
      </c>
      <c r="U52" s="2"/>
      <c r="V52" s="7">
        <f t="shared" si="17"/>
        <v>1.03804893561661E-4</v>
      </c>
      <c r="W52" s="2"/>
      <c r="X52" s="6">
        <f t="shared" si="18"/>
        <v>-23.342489999999998</v>
      </c>
      <c r="Y52" s="2"/>
      <c r="Z52" s="7">
        <f t="shared" si="19"/>
        <v>-0.16669338665619671</v>
      </c>
    </row>
    <row r="53" spans="1:26" s="24" customFormat="1" hidden="1" outlineLevel="2" x14ac:dyDescent="0.25">
      <c r="A53" s="28"/>
      <c r="B53" s="11" t="str">
        <f>CONCATENATE("          ", "6115", " - ", "P.E.R.S.")</f>
        <v xml:space="preserve">          6115 - P.E.R.S.</v>
      </c>
      <c r="C53" s="11"/>
      <c r="D53" s="6">
        <v>176.42</v>
      </c>
      <c r="E53" s="2"/>
      <c r="F53" s="7">
        <f t="shared" si="12"/>
        <v>2.9510866010598281E-3</v>
      </c>
      <c r="G53" s="2"/>
      <c r="H53" s="6">
        <v>196.27780000000001</v>
      </c>
      <c r="I53" s="2"/>
      <c r="J53" s="7">
        <f t="shared" si="13"/>
        <v>1.3589633876149331E-3</v>
      </c>
      <c r="K53" s="2"/>
      <c r="L53" s="6">
        <f t="shared" si="14"/>
        <v>-19.857800000000026</v>
      </c>
      <c r="M53" s="2"/>
      <c r="N53" s="7">
        <f t="shared" si="15"/>
        <v>-0.10117191042491827</v>
      </c>
      <c r="O53" s="11"/>
      <c r="P53" s="6">
        <v>970.31</v>
      </c>
      <c r="Q53" s="2"/>
      <c r="R53" s="7">
        <f t="shared" si="16"/>
        <v>8.1136185889339317E-4</v>
      </c>
      <c r="S53" s="2"/>
      <c r="T53" s="6">
        <v>1079.5279</v>
      </c>
      <c r="U53" s="2"/>
      <c r="V53" s="7">
        <f t="shared" si="17"/>
        <v>8.0024484858009321E-4</v>
      </c>
      <c r="W53" s="2"/>
      <c r="X53" s="6">
        <f t="shared" si="18"/>
        <v>-109.2179000000001</v>
      </c>
      <c r="Y53" s="2"/>
      <c r="Z53" s="7">
        <f t="shared" si="19"/>
        <v>-0.10117191042491824</v>
      </c>
    </row>
    <row r="54" spans="1:26" s="24" customFormat="1" hidden="1" outlineLevel="2" x14ac:dyDescent="0.25">
      <c r="A54" s="28"/>
      <c r="B54" s="11" t="str">
        <f>CONCATENATE("          ", "6116", " - ", "EDUCATIONAL BENEFITS")</f>
        <v xml:space="preserve">          6116 - EDUCATIONAL BENEFITS</v>
      </c>
      <c r="C54" s="11"/>
      <c r="D54" s="6"/>
      <c r="E54" s="2"/>
      <c r="F54" s="7">
        <f t="shared" si="12"/>
        <v>0</v>
      </c>
      <c r="G54" s="2"/>
      <c r="H54" s="6">
        <v>0</v>
      </c>
      <c r="I54" s="2"/>
      <c r="J54" s="7">
        <f t="shared" si="13"/>
        <v>0</v>
      </c>
      <c r="K54" s="2"/>
      <c r="L54" s="6">
        <f t="shared" si="14"/>
        <v>0</v>
      </c>
      <c r="M54" s="2"/>
      <c r="N54" s="7">
        <f t="shared" si="15"/>
        <v>0</v>
      </c>
      <c r="O54" s="11"/>
      <c r="P54" s="6"/>
      <c r="Q54" s="2"/>
      <c r="R54" s="7">
        <f t="shared" si="16"/>
        <v>0</v>
      </c>
      <c r="S54" s="2"/>
      <c r="T54" s="6">
        <v>0</v>
      </c>
      <c r="U54" s="2"/>
      <c r="V54" s="7">
        <f t="shared" si="17"/>
        <v>0</v>
      </c>
      <c r="W54" s="2"/>
      <c r="X54" s="6">
        <f t="shared" si="18"/>
        <v>0</v>
      </c>
      <c r="Y54" s="2"/>
      <c r="Z54" s="7">
        <f t="shared" si="19"/>
        <v>0</v>
      </c>
    </row>
    <row r="55" spans="1:26" s="24" customFormat="1" hidden="1" outlineLevel="2" x14ac:dyDescent="0.25">
      <c r="A55" s="28"/>
      <c r="B55" s="11" t="str">
        <f>CONCATENATE("          ", "6117", " - ", "RETIREMENT STAFF HOURLY")</f>
        <v xml:space="preserve">          6117 - RETIREMENT STAFF HOURLY</v>
      </c>
      <c r="C55" s="11"/>
      <c r="D55" s="6">
        <v>154.52000000000001</v>
      </c>
      <c r="E55" s="2"/>
      <c r="F55" s="7">
        <f t="shared" si="12"/>
        <v>2.5847517378741907E-3</v>
      </c>
      <c r="G55" s="2"/>
      <c r="H55" s="6"/>
      <c r="I55" s="2"/>
      <c r="J55" s="7">
        <f t="shared" si="13"/>
        <v>0</v>
      </c>
      <c r="K55" s="2"/>
      <c r="L55" s="6">
        <f t="shared" si="14"/>
        <v>154.52000000000001</v>
      </c>
      <c r="M55" s="2"/>
      <c r="N55" s="7">
        <f t="shared" si="15"/>
        <v>0</v>
      </c>
      <c r="O55" s="11"/>
      <c r="P55" s="6">
        <v>934.08</v>
      </c>
      <c r="Q55" s="2"/>
      <c r="R55" s="7">
        <f t="shared" si="16"/>
        <v>7.8106675717568692E-4</v>
      </c>
      <c r="S55" s="2"/>
      <c r="T55" s="6"/>
      <c r="U55" s="2"/>
      <c r="V55" s="7">
        <f t="shared" si="17"/>
        <v>0</v>
      </c>
      <c r="W55" s="2"/>
      <c r="X55" s="6">
        <f t="shared" si="18"/>
        <v>934.08</v>
      </c>
      <c r="Y55" s="2"/>
      <c r="Z55" s="7">
        <f t="shared" si="19"/>
        <v>0</v>
      </c>
    </row>
    <row r="56" spans="1:26" s="24" customFormat="1" hidden="1" outlineLevel="2" x14ac:dyDescent="0.25">
      <c r="A56" s="28"/>
      <c r="B56" s="11" t="str">
        <f>CONCATENATE("          ", "6118", " - ", "VACATION")</f>
        <v xml:space="preserve">          6118 - VACATION</v>
      </c>
      <c r="C56" s="11"/>
      <c r="D56" s="6">
        <v>262.39999999999998</v>
      </c>
      <c r="E56" s="2"/>
      <c r="F56" s="7">
        <f t="shared" si="12"/>
        <v>4.3893273104982367E-3</v>
      </c>
      <c r="G56" s="2"/>
      <c r="H56" s="6">
        <v>194.749</v>
      </c>
      <c r="I56" s="2"/>
      <c r="J56" s="7">
        <f t="shared" si="13"/>
        <v>1.3483784756840589E-3</v>
      </c>
      <c r="K56" s="2"/>
      <c r="L56" s="6">
        <f t="shared" si="14"/>
        <v>67.650999999999982</v>
      </c>
      <c r="M56" s="2"/>
      <c r="N56" s="7">
        <f t="shared" si="15"/>
        <v>0.34737533953961242</v>
      </c>
      <c r="O56" s="11"/>
      <c r="P56" s="6">
        <v>1422.5</v>
      </c>
      <c r="Q56" s="2"/>
      <c r="R56" s="7">
        <f t="shared" si="16"/>
        <v>1.1894778413866205E-3</v>
      </c>
      <c r="S56" s="2"/>
      <c r="T56" s="6">
        <v>1071.1195</v>
      </c>
      <c r="U56" s="2"/>
      <c r="V56" s="7">
        <f t="shared" si="17"/>
        <v>7.9401177319148974E-4</v>
      </c>
      <c r="W56" s="2"/>
      <c r="X56" s="6">
        <f t="shared" si="18"/>
        <v>351.38049999999998</v>
      </c>
      <c r="Y56" s="2"/>
      <c r="Z56" s="7">
        <f t="shared" si="19"/>
        <v>0.32804976475547309</v>
      </c>
    </row>
    <row r="57" spans="1:26" s="24" customFormat="1" hidden="1" outlineLevel="2" x14ac:dyDescent="0.25">
      <c r="A57" s="28"/>
      <c r="B57" s="11" t="str">
        <f>CONCATENATE("          ", "6119", " - ", "SICK LEAVE")</f>
        <v xml:space="preserve">          6119 - SICK LEAVE</v>
      </c>
      <c r="C57" s="11"/>
      <c r="D57" s="6">
        <v>262.10000000000002</v>
      </c>
      <c r="E57" s="2"/>
      <c r="F57" s="7">
        <f t="shared" si="12"/>
        <v>4.3843090247011737E-3</v>
      </c>
      <c r="G57" s="2"/>
      <c r="H57" s="6">
        <v>251.916</v>
      </c>
      <c r="I57" s="2"/>
      <c r="J57" s="7">
        <f t="shared" si="13"/>
        <v>1.7441841143236957E-3</v>
      </c>
      <c r="K57" s="2"/>
      <c r="L57" s="6">
        <f t="shared" si="14"/>
        <v>10.184000000000026</v>
      </c>
      <c r="M57" s="2"/>
      <c r="N57" s="7">
        <f t="shared" si="15"/>
        <v>4.0426173803966507E-2</v>
      </c>
      <c r="O57" s="11"/>
      <c r="P57" s="6">
        <v>1416.66</v>
      </c>
      <c r="Q57" s="2"/>
      <c r="R57" s="7">
        <f t="shared" si="16"/>
        <v>1.1845945017776942E-3</v>
      </c>
      <c r="S57" s="2"/>
      <c r="T57" s="6">
        <v>1309.8330000000001</v>
      </c>
      <c r="U57" s="2"/>
      <c r="V57" s="7">
        <f t="shared" si="17"/>
        <v>9.70968059973447E-4</v>
      </c>
      <c r="W57" s="2"/>
      <c r="X57" s="6">
        <f t="shared" si="18"/>
        <v>106.827</v>
      </c>
      <c r="Y57" s="2"/>
      <c r="Z57" s="7">
        <f t="shared" si="19"/>
        <v>8.1557725297805139E-2</v>
      </c>
    </row>
    <row r="58" spans="1:26" s="24" customFormat="1" hidden="1" outlineLevel="2" x14ac:dyDescent="0.25">
      <c r="A58" s="28"/>
      <c r="B58" s="11" t="str">
        <f>CONCATENATE("          ", "6156", " - ", "EMPLOYEE MEALS")</f>
        <v xml:space="preserve">          6156 - EMPLOYEE MEALS</v>
      </c>
      <c r="C58" s="11"/>
      <c r="D58" s="6">
        <v>242.38</v>
      </c>
      <c r="E58" s="2"/>
      <c r="F58" s="7">
        <f t="shared" si="12"/>
        <v>4.0544403716408633E-3</v>
      </c>
      <c r="G58" s="2"/>
      <c r="H58" s="6">
        <v>175</v>
      </c>
      <c r="I58" s="2"/>
      <c r="J58" s="7">
        <f t="shared" si="13"/>
        <v>1.2116428492300875E-3</v>
      </c>
      <c r="K58" s="2"/>
      <c r="L58" s="6">
        <f t="shared" si="14"/>
        <v>67.38</v>
      </c>
      <c r="M58" s="2"/>
      <c r="N58" s="7">
        <f t="shared" si="15"/>
        <v>0.38502857142857139</v>
      </c>
      <c r="O58" s="11"/>
      <c r="P58" s="6">
        <v>1122.8800000000001</v>
      </c>
      <c r="Q58" s="2"/>
      <c r="R58" s="7">
        <f t="shared" si="16"/>
        <v>9.3893910617659656E-4</v>
      </c>
      <c r="S58" s="2"/>
      <c r="T58" s="6">
        <v>875</v>
      </c>
      <c r="U58" s="2"/>
      <c r="V58" s="7">
        <f t="shared" si="17"/>
        <v>6.4863005625661143E-4</v>
      </c>
      <c r="W58" s="2"/>
      <c r="X58" s="6">
        <f t="shared" si="18"/>
        <v>247.88000000000011</v>
      </c>
      <c r="Y58" s="2"/>
      <c r="Z58" s="7">
        <f t="shared" si="19"/>
        <v>0.28329142857142869</v>
      </c>
    </row>
    <row r="59" spans="1:26" s="29" customFormat="1" outlineLevel="1" collapsed="1" x14ac:dyDescent="0.25">
      <c r="A59" s="27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7316.2099999999991</v>
      </c>
      <c r="E59" s="1"/>
      <c r="F59" s="5">
        <f t="shared" ref="F59:F69" si="20">IF(D$12=0,0,D59/D$12)</f>
        <v>0.12238277577111396</v>
      </c>
      <c r="G59" s="1"/>
      <c r="H59" s="1">
        <f>SUM(OSRRefH22_1x_0)</f>
        <v>9804.6350000000002</v>
      </c>
      <c r="I59" s="1"/>
      <c r="J59" s="5">
        <f t="shared" ref="J59:J69" si="21">IF(H$12=0,0,H59/H$12)</f>
        <v>6.7884090783205939E-2</v>
      </c>
      <c r="K59" s="1"/>
      <c r="L59" s="1">
        <f t="shared" ref="L59:L69" si="22">+D59-H59</f>
        <v>-2488.4250000000011</v>
      </c>
      <c r="M59" s="1"/>
      <c r="N59" s="5">
        <f t="shared" ref="N59:N69" si="23">IF(H59=0,0,L59/H59)</f>
        <v>-0.25380088090989628</v>
      </c>
      <c r="O59" s="14"/>
      <c r="P59" s="1">
        <f>SUM(OSRRefP22_1x_0)</f>
        <v>39479.78</v>
      </c>
      <c r="Q59" s="1"/>
      <c r="R59" s="5">
        <f t="shared" ref="R59:R69" si="24">IF(P$12=0,0,P59/P$12)</f>
        <v>3.3012529696181847E-2</v>
      </c>
      <c r="S59" s="1"/>
      <c r="T59" s="1">
        <f>SUM(OSRRefT22_1x_0)</f>
        <v>51477.697500000002</v>
      </c>
      <c r="U59" s="1"/>
      <c r="V59" s="5">
        <f t="shared" ref="V59:V69" si="25">IF(T$12=0,0,T59/T$12)</f>
        <v>3.8159979229012368E-2</v>
      </c>
      <c r="W59" s="1"/>
      <c r="X59" s="1">
        <f t="shared" ref="X59:X69" si="26">+P59-T59</f>
        <v>-11997.917500000003</v>
      </c>
      <c r="Y59" s="1"/>
      <c r="Z59" s="5">
        <f t="shared" ref="Z59:Z69" si="27">IF(T59=0,0,X59/T59)</f>
        <v>-0.23307020482025256</v>
      </c>
    </row>
    <row r="60" spans="1:26" s="24" customFormat="1" hidden="1" outlineLevel="2" x14ac:dyDescent="0.25">
      <c r="A60" s="28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8"/>
      <c r="B61" s="11" t="str">
        <f>CONCATENATE("          ", "6002", " - ", "STAFF SALARIES")</f>
        <v xml:space="preserve">          6002 - STAFF SALARIES</v>
      </c>
      <c r="C61" s="11"/>
      <c r="D61" s="6">
        <v>1939.96</v>
      </c>
      <c r="E61" s="2"/>
      <c r="F61" s="7">
        <f t="shared" si="20"/>
        <v>3.2450912382904575E-2</v>
      </c>
      <c r="G61" s="2"/>
      <c r="H61" s="6">
        <v>2168.1849999999999</v>
      </c>
      <c r="I61" s="2"/>
      <c r="J61" s="7">
        <f t="shared" si="21"/>
        <v>1.5011804863188212E-2</v>
      </c>
      <c r="K61" s="2"/>
      <c r="L61" s="6">
        <f t="shared" si="22"/>
        <v>-228.22499999999991</v>
      </c>
      <c r="M61" s="2"/>
      <c r="N61" s="7">
        <f t="shared" si="23"/>
        <v>-0.10526085181845642</v>
      </c>
      <c r="O61" s="11"/>
      <c r="P61" s="6">
        <v>11297.39</v>
      </c>
      <c r="Q61" s="2"/>
      <c r="R61" s="7">
        <f t="shared" si="24"/>
        <v>9.4467452165221746E-3</v>
      </c>
      <c r="S61" s="2"/>
      <c r="T61" s="6">
        <v>11925.0175</v>
      </c>
      <c r="U61" s="2"/>
      <c r="V61" s="7">
        <f t="shared" si="25"/>
        <v>8.8399140250126577E-3</v>
      </c>
      <c r="W61" s="2"/>
      <c r="X61" s="6">
        <f t="shared" si="26"/>
        <v>-627.62750000000051</v>
      </c>
      <c r="Y61" s="2"/>
      <c r="Z61" s="7">
        <f t="shared" si="27"/>
        <v>-5.2631159660772031E-2</v>
      </c>
    </row>
    <row r="62" spans="1:26" s="24" customFormat="1" hidden="1" outlineLevel="2" x14ac:dyDescent="0.25">
      <c r="A62" s="28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6">
        <v>3395.52</v>
      </c>
      <c r="E63" s="2"/>
      <c r="F63" s="7">
        <f t="shared" si="20"/>
        <v>5.6798965965483894E-2</v>
      </c>
      <c r="G63" s="2"/>
      <c r="H63" s="6">
        <v>3088.12</v>
      </c>
      <c r="I63" s="2"/>
      <c r="J63" s="7">
        <f t="shared" si="21"/>
        <v>2.1381134374653814E-2</v>
      </c>
      <c r="K63" s="2"/>
      <c r="L63" s="6">
        <f t="shared" si="22"/>
        <v>307.40000000000009</v>
      </c>
      <c r="M63" s="2"/>
      <c r="N63" s="7">
        <f t="shared" si="23"/>
        <v>9.9542763882232585E-2</v>
      </c>
      <c r="O63" s="11"/>
      <c r="P63" s="6">
        <v>17816.16</v>
      </c>
      <c r="Q63" s="2"/>
      <c r="R63" s="7">
        <f t="shared" si="24"/>
        <v>1.4897664350508719E-2</v>
      </c>
      <c r="S63" s="2"/>
      <c r="T63" s="6">
        <v>16984.66</v>
      </c>
      <c r="U63" s="2"/>
      <c r="V63" s="7">
        <f t="shared" si="25"/>
        <v>1.2590583967199333E-2</v>
      </c>
      <c r="W63" s="2"/>
      <c r="X63" s="6">
        <f t="shared" si="26"/>
        <v>831.5</v>
      </c>
      <c r="Y63" s="2"/>
      <c r="Z63" s="7">
        <f t="shared" si="27"/>
        <v>4.8955940242548276E-2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8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8"/>
      <c r="B66" s="11" t="str">
        <f>CONCATENATE("          ", "6007", " - ", "STUDENT HOURLY")</f>
        <v xml:space="preserve">          6007 - STUDENT HOURLY</v>
      </c>
      <c r="C66" s="11"/>
      <c r="D66" s="6">
        <v>1980.73</v>
      </c>
      <c r="E66" s="2"/>
      <c r="F66" s="7">
        <f t="shared" si="20"/>
        <v>3.3132897422725509E-2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1980.73</v>
      </c>
      <c r="M66" s="2"/>
      <c r="N66" s="7">
        <f t="shared" si="23"/>
        <v>0</v>
      </c>
      <c r="O66" s="11"/>
      <c r="P66" s="6">
        <v>10366.23</v>
      </c>
      <c r="Q66" s="2"/>
      <c r="R66" s="7">
        <f t="shared" si="24"/>
        <v>8.66812012915095E-3</v>
      </c>
      <c r="S66" s="2"/>
      <c r="T66" s="6">
        <v>5416.48</v>
      </c>
      <c r="U66" s="2"/>
      <c r="V66" s="7">
        <f t="shared" si="25"/>
        <v>4.0151905452717827E-3</v>
      </c>
      <c r="W66" s="2"/>
      <c r="X66" s="6">
        <f t="shared" si="26"/>
        <v>4949.75</v>
      </c>
      <c r="Y66" s="2"/>
      <c r="Z66" s="7">
        <f t="shared" si="27"/>
        <v>0.91383149203911029</v>
      </c>
    </row>
    <row r="67" spans="1:26" s="24" customFormat="1" hidden="1" outlineLevel="2" x14ac:dyDescent="0.25">
      <c r="A67" s="28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0"/>
        <v>0</v>
      </c>
      <c r="G67" s="2"/>
      <c r="H67" s="6">
        <v>4548.33</v>
      </c>
      <c r="I67" s="2"/>
      <c r="J67" s="7">
        <f t="shared" si="21"/>
        <v>3.1491151545363909E-2</v>
      </c>
      <c r="K67" s="2"/>
      <c r="L67" s="6">
        <f t="shared" si="22"/>
        <v>-4548.33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17151.54</v>
      </c>
      <c r="U67" s="2"/>
      <c r="V67" s="7">
        <f t="shared" si="25"/>
        <v>1.2714290691528596E-2</v>
      </c>
      <c r="W67" s="2"/>
      <c r="X67" s="6">
        <f t="shared" si="26"/>
        <v>-17151.54</v>
      </c>
      <c r="Y67" s="2"/>
      <c r="Z67" s="7">
        <f t="shared" si="27"/>
        <v>-1</v>
      </c>
    </row>
    <row r="68" spans="1:26" s="24" customFormat="1" hidden="1" outlineLevel="2" x14ac:dyDescent="0.25">
      <c r="A68" s="28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8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9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1.3847346848343857E-3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2.0811054141602962E-4</v>
      </c>
      <c r="S70" s="1"/>
      <c r="T70" s="1">
        <f>SUM(OSRRefT22_2x_0)</f>
        <v>1000</v>
      </c>
      <c r="U70" s="1"/>
      <c r="V70" s="5">
        <f t="shared" ref="V70:V80" si="33">IF(T$12=0,0,T70/T$12)</f>
        <v>7.4129149286469875E-4</v>
      </c>
      <c r="W70" s="1"/>
      <c r="X70" s="1">
        <f t="shared" ref="X70:X80" si="34">+P70-T70</f>
        <v>-751.12</v>
      </c>
      <c r="Y70" s="1"/>
      <c r="Z70" s="5">
        <f t="shared" ref="Z70:Z80" si="35">IF(T70=0,0,X70/T70)</f>
        <v>-0.75112000000000001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28"/>
        <v>0</v>
      </c>
      <c r="G71" s="2"/>
      <c r="H71" s="6">
        <v>200</v>
      </c>
      <c r="I71" s="2"/>
      <c r="J71" s="7">
        <f t="shared" si="29"/>
        <v>1.3847346848343857E-3</v>
      </c>
      <c r="K71" s="2"/>
      <c r="L71" s="6">
        <f t="shared" si="30"/>
        <v>-200</v>
      </c>
      <c r="M71" s="2"/>
      <c r="N71" s="7">
        <f t="shared" si="31"/>
        <v>-1</v>
      </c>
      <c r="O71" s="11"/>
      <c r="P71" s="6">
        <v>248.88</v>
      </c>
      <c r="Q71" s="2"/>
      <c r="R71" s="7">
        <f t="shared" si="32"/>
        <v>2.0811054141602962E-4</v>
      </c>
      <c r="S71" s="2"/>
      <c r="T71" s="6">
        <v>1000</v>
      </c>
      <c r="U71" s="2"/>
      <c r="V71" s="7">
        <f t="shared" si="33"/>
        <v>7.4129149286469875E-4</v>
      </c>
      <c r="W71" s="2"/>
      <c r="X71" s="6">
        <f t="shared" si="34"/>
        <v>-751.12</v>
      </c>
      <c r="Y71" s="2"/>
      <c r="Z71" s="7">
        <f t="shared" si="35"/>
        <v>-0.75112000000000001</v>
      </c>
    </row>
    <row r="72" spans="1:26" s="29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4.6910935630949911E-3</v>
      </c>
      <c r="G72" s="1"/>
      <c r="H72" s="1">
        <f>SUM(OSRRefH22_3x_0)</f>
        <v>300</v>
      </c>
      <c r="I72" s="1"/>
      <c r="J72" s="5">
        <f t="shared" si="29"/>
        <v>2.0771020272515785E-3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1402.2</v>
      </c>
      <c r="Q72" s="1"/>
      <c r="R72" s="5">
        <f t="shared" si="32"/>
        <v>1.1725032191158659E-3</v>
      </c>
      <c r="S72" s="1"/>
      <c r="T72" s="1">
        <f>SUM(OSRRefT22_3x_0)</f>
        <v>1500</v>
      </c>
      <c r="U72" s="1"/>
      <c r="V72" s="5">
        <f t="shared" si="33"/>
        <v>1.111937239297048E-3</v>
      </c>
      <c r="W72" s="1"/>
      <c r="X72" s="1">
        <f t="shared" si="34"/>
        <v>-97.799999999999955</v>
      </c>
      <c r="Y72" s="1"/>
      <c r="Z72" s="5">
        <f t="shared" si="35"/>
        <v>-6.5199999999999966E-2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28"/>
        <v>4.6910935630949911E-3</v>
      </c>
      <c r="G73" s="2"/>
      <c r="H73" s="6">
        <v>300</v>
      </c>
      <c r="I73" s="2"/>
      <c r="J73" s="7">
        <f t="shared" si="29"/>
        <v>2.0771020272515785E-3</v>
      </c>
      <c r="K73" s="2"/>
      <c r="L73" s="6">
        <f t="shared" si="30"/>
        <v>-19.560000000000002</v>
      </c>
      <c r="M73" s="2"/>
      <c r="N73" s="7">
        <f t="shared" si="31"/>
        <v>-6.5200000000000008E-2</v>
      </c>
      <c r="O73" s="11"/>
      <c r="P73" s="6">
        <v>1402.2</v>
      </c>
      <c r="Q73" s="2"/>
      <c r="R73" s="7">
        <f t="shared" si="32"/>
        <v>1.1725032191158659E-3</v>
      </c>
      <c r="S73" s="2"/>
      <c r="T73" s="6">
        <v>1500</v>
      </c>
      <c r="U73" s="2"/>
      <c r="V73" s="7">
        <f t="shared" si="33"/>
        <v>1.111937239297048E-3</v>
      </c>
      <c r="W73" s="2"/>
      <c r="X73" s="6">
        <f t="shared" si="34"/>
        <v>-97.799999999999955</v>
      </c>
      <c r="Y73" s="2"/>
      <c r="Z73" s="7">
        <f t="shared" si="35"/>
        <v>-6.5199999999999966E-2</v>
      </c>
    </row>
    <row r="74" spans="1:26" s="29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2297</v>
      </c>
      <c r="I74" s="1"/>
      <c r="J74" s="5">
        <f t="shared" si="29"/>
        <v>1.5903677855322922E-2</v>
      </c>
      <c r="K74" s="1"/>
      <c r="L74" s="1">
        <f t="shared" si="30"/>
        <v>-2297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21456</v>
      </c>
      <c r="U74" s="1"/>
      <c r="V74" s="5">
        <f t="shared" si="33"/>
        <v>1.5905150270904975E-2</v>
      </c>
      <c r="W74" s="1"/>
      <c r="X74" s="1">
        <f t="shared" si="34"/>
        <v>-21456</v>
      </c>
      <c r="Y74" s="1"/>
      <c r="Z74" s="5">
        <f t="shared" si="35"/>
        <v>-1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28"/>
        <v>0</v>
      </c>
      <c r="G75" s="2"/>
      <c r="H75" s="6">
        <v>2297</v>
      </c>
      <c r="I75" s="2"/>
      <c r="J75" s="7">
        <f t="shared" si="29"/>
        <v>1.5903677855322922E-2</v>
      </c>
      <c r="K75" s="2"/>
      <c r="L75" s="6">
        <f t="shared" si="30"/>
        <v>-2297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21456</v>
      </c>
      <c r="U75" s="2"/>
      <c r="V75" s="7">
        <f t="shared" si="33"/>
        <v>1.5905150270904975E-2</v>
      </c>
      <c r="W75" s="2"/>
      <c r="X75" s="6">
        <f t="shared" si="34"/>
        <v>-21456</v>
      </c>
      <c r="Y75" s="2"/>
      <c r="Z75" s="7">
        <f t="shared" si="35"/>
        <v>-1</v>
      </c>
    </row>
    <row r="76" spans="1:26" s="29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1.3847346848343858E-4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100</v>
      </c>
      <c r="U76" s="1"/>
      <c r="V76" s="5">
        <f t="shared" si="33"/>
        <v>7.4129149286469872E-5</v>
      </c>
      <c r="W76" s="1"/>
      <c r="X76" s="1">
        <f t="shared" si="34"/>
        <v>-100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28"/>
        <v>0</v>
      </c>
      <c r="G77" s="2"/>
      <c r="H77" s="6">
        <v>20</v>
      </c>
      <c r="I77" s="2"/>
      <c r="J77" s="7">
        <f t="shared" si="29"/>
        <v>1.3847346848343858E-4</v>
      </c>
      <c r="K77" s="2"/>
      <c r="L77" s="6">
        <f t="shared" si="30"/>
        <v>-20</v>
      </c>
      <c r="M77" s="2"/>
      <c r="N77" s="7">
        <f t="shared" si="31"/>
        <v>-1</v>
      </c>
      <c r="O77" s="11"/>
      <c r="P77" s="6"/>
      <c r="Q77" s="2"/>
      <c r="R77" s="7">
        <f t="shared" si="32"/>
        <v>0</v>
      </c>
      <c r="S77" s="2"/>
      <c r="T77" s="6">
        <v>100</v>
      </c>
      <c r="U77" s="2"/>
      <c r="V77" s="7">
        <f t="shared" si="33"/>
        <v>7.4129149286469872E-5</v>
      </c>
      <c r="W77" s="2"/>
      <c r="X77" s="6">
        <f t="shared" si="34"/>
        <v>-100</v>
      </c>
      <c r="Y77" s="2"/>
      <c r="Z77" s="7">
        <f t="shared" si="35"/>
        <v>-1</v>
      </c>
    </row>
    <row r="78" spans="1:26" s="29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277.12</v>
      </c>
      <c r="E78" s="1"/>
      <c r="F78" s="5">
        <f t="shared" si="28"/>
        <v>4.6355578669408214E-3</v>
      </c>
      <c r="G78" s="1"/>
      <c r="H78" s="1">
        <f>SUM(OSRRefH22_6x_0)</f>
        <v>15</v>
      </c>
      <c r="I78" s="1"/>
      <c r="J78" s="5">
        <f t="shared" si="29"/>
        <v>1.0385510136257894E-4</v>
      </c>
      <c r="K78" s="1"/>
      <c r="L78" s="1">
        <f t="shared" si="30"/>
        <v>262.12</v>
      </c>
      <c r="M78" s="1"/>
      <c r="N78" s="5">
        <f t="shared" si="31"/>
        <v>17.474666666666668</v>
      </c>
      <c r="O78" s="14"/>
      <c r="P78" s="1">
        <f>SUM(OSRRefP22_6x_0)</f>
        <v>827.59</v>
      </c>
      <c r="Q78" s="1"/>
      <c r="R78" s="5">
        <f t="shared" si="32"/>
        <v>6.9202106625880727E-4</v>
      </c>
      <c r="S78" s="1"/>
      <c r="T78" s="1">
        <f>SUM(OSRRefT22_6x_0)</f>
        <v>75</v>
      </c>
      <c r="U78" s="1"/>
      <c r="V78" s="5">
        <f t="shared" si="33"/>
        <v>5.5596861964852407E-5</v>
      </c>
      <c r="W78" s="1"/>
      <c r="X78" s="1">
        <f t="shared" si="34"/>
        <v>752.59</v>
      </c>
      <c r="Y78" s="1"/>
      <c r="Z78" s="5">
        <f t="shared" si="35"/>
        <v>10.034533333333334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6">
        <v>277.12</v>
      </c>
      <c r="E79" s="2"/>
      <c r="F79" s="7">
        <f t="shared" si="28"/>
        <v>4.6355578669408214E-3</v>
      </c>
      <c r="G79" s="2"/>
      <c r="H79" s="6">
        <v>15</v>
      </c>
      <c r="I79" s="2"/>
      <c r="J79" s="7">
        <f t="shared" si="29"/>
        <v>1.0385510136257894E-4</v>
      </c>
      <c r="K79" s="2"/>
      <c r="L79" s="6">
        <f t="shared" si="30"/>
        <v>262.12</v>
      </c>
      <c r="M79" s="2"/>
      <c r="N79" s="7">
        <f t="shared" si="31"/>
        <v>17.474666666666668</v>
      </c>
      <c r="O79" s="11"/>
      <c r="P79" s="6">
        <v>814.99</v>
      </c>
      <c r="Q79" s="2"/>
      <c r="R79" s="7">
        <f t="shared" si="32"/>
        <v>6.8148509381489066E-4</v>
      </c>
      <c r="S79" s="2"/>
      <c r="T79" s="6">
        <v>75</v>
      </c>
      <c r="U79" s="2"/>
      <c r="V79" s="7">
        <f t="shared" si="33"/>
        <v>5.5596861964852407E-5</v>
      </c>
      <c r="W79" s="2"/>
      <c r="X79" s="6">
        <f t="shared" si="34"/>
        <v>739.99</v>
      </c>
      <c r="Y79" s="2"/>
      <c r="Z79" s="7">
        <f t="shared" si="35"/>
        <v>9.8665333333333329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6"/>
      <c r="E80" s="2"/>
      <c r="F80" s="7">
        <f t="shared" si="28"/>
        <v>0</v>
      </c>
      <c r="G80" s="2"/>
      <c r="H80" s="6"/>
      <c r="I80" s="2"/>
      <c r="J80" s="7">
        <f t="shared" si="29"/>
        <v>0</v>
      </c>
      <c r="K80" s="2"/>
      <c r="L80" s="6">
        <f t="shared" si="30"/>
        <v>0</v>
      </c>
      <c r="M80" s="2"/>
      <c r="N80" s="7">
        <f t="shared" si="31"/>
        <v>0</v>
      </c>
      <c r="O80" s="11"/>
      <c r="P80" s="6">
        <v>12.6</v>
      </c>
      <c r="Q80" s="2"/>
      <c r="R80" s="7">
        <f t="shared" si="32"/>
        <v>1.0535972443916639E-5</v>
      </c>
      <c r="S80" s="2"/>
      <c r="T80" s="6"/>
      <c r="U80" s="2"/>
      <c r="V80" s="7">
        <f t="shared" si="33"/>
        <v>0</v>
      </c>
      <c r="W80" s="2"/>
      <c r="X80" s="6">
        <f t="shared" si="34"/>
        <v>12.6</v>
      </c>
      <c r="Y80" s="2"/>
      <c r="Z80" s="7">
        <f t="shared" si="35"/>
        <v>0</v>
      </c>
    </row>
    <row r="81" spans="1:26" s="29" customFormat="1" outlineLevel="1" collapsed="1" x14ac:dyDescent="0.25">
      <c r="A81" s="27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2.0771020272515787E-4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-2.5211076919371957E-5</v>
      </c>
      <c r="S81" s="1"/>
      <c r="T81" s="1">
        <f>SUM(OSRRefT22_7x_0)</f>
        <v>150</v>
      </c>
      <c r="U81" s="1"/>
      <c r="V81" s="5">
        <f t="shared" ref="V81:V90" si="41">IF(T$12=0,0,T81/T$12)</f>
        <v>1.1119372392970481E-4</v>
      </c>
      <c r="W81" s="1"/>
      <c r="X81" s="1">
        <f t="shared" ref="X81:X90" si="42">+P81-T81</f>
        <v>-180.15</v>
      </c>
      <c r="Y81" s="1"/>
      <c r="Z81" s="5">
        <f t="shared" ref="Z81:Z90" si="43">IF(T81=0,0,X81/T81)</f>
        <v>-1.2010000000000001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36"/>
        <v>0</v>
      </c>
      <c r="G82" s="2"/>
      <c r="H82" s="6">
        <v>30</v>
      </c>
      <c r="I82" s="2"/>
      <c r="J82" s="7">
        <f t="shared" si="37"/>
        <v>2.0771020272515787E-4</v>
      </c>
      <c r="K82" s="2"/>
      <c r="L82" s="6">
        <f t="shared" si="38"/>
        <v>-30</v>
      </c>
      <c r="M82" s="2"/>
      <c r="N82" s="7">
        <f t="shared" si="39"/>
        <v>-1</v>
      </c>
      <c r="O82" s="11"/>
      <c r="P82" s="6">
        <v>-30.15</v>
      </c>
      <c r="Q82" s="2"/>
      <c r="R82" s="7">
        <f t="shared" si="40"/>
        <v>-2.5211076919371957E-5</v>
      </c>
      <c r="S82" s="2"/>
      <c r="T82" s="6">
        <v>150</v>
      </c>
      <c r="U82" s="2"/>
      <c r="V82" s="7">
        <f t="shared" si="41"/>
        <v>1.1119372392970481E-4</v>
      </c>
      <c r="W82" s="2"/>
      <c r="X82" s="6">
        <f t="shared" si="42"/>
        <v>-180.15</v>
      </c>
      <c r="Y82" s="2"/>
      <c r="Z82" s="7">
        <f t="shared" si="43"/>
        <v>-1.2010000000000001</v>
      </c>
    </row>
    <row r="83" spans="1:26" s="29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2.0909524154431387E-2</v>
      </c>
      <c r="G83" s="1"/>
      <c r="H83" s="1">
        <f>SUM(OSRRefH22_8x_0)</f>
        <v>1250</v>
      </c>
      <c r="I83" s="1"/>
      <c r="J83" s="5">
        <f t="shared" si="37"/>
        <v>8.6545917802149114E-3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6250</v>
      </c>
      <c r="Q83" s="1"/>
      <c r="R83" s="5">
        <f t="shared" si="40"/>
        <v>5.2261768074983329E-3</v>
      </c>
      <c r="S83" s="1"/>
      <c r="T83" s="1">
        <f>SUM(OSRRefT22_8x_0)</f>
        <v>6250</v>
      </c>
      <c r="U83" s="1"/>
      <c r="V83" s="5">
        <f t="shared" si="41"/>
        <v>4.6330718304043667E-3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6">
        <v>1250</v>
      </c>
      <c r="E84" s="2"/>
      <c r="F84" s="7">
        <f t="shared" si="36"/>
        <v>2.0909524154431387E-2</v>
      </c>
      <c r="G84" s="2"/>
      <c r="H84" s="6">
        <v>1250</v>
      </c>
      <c r="I84" s="2"/>
      <c r="J84" s="7">
        <f t="shared" si="37"/>
        <v>8.6545917802149114E-3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6250</v>
      </c>
      <c r="Q84" s="2"/>
      <c r="R84" s="7">
        <f t="shared" si="40"/>
        <v>5.2261768074983329E-3</v>
      </c>
      <c r="S84" s="2"/>
      <c r="T84" s="6">
        <v>6250</v>
      </c>
      <c r="U84" s="2"/>
      <c r="V84" s="7">
        <f t="shared" si="41"/>
        <v>4.6330718304043667E-3</v>
      </c>
      <c r="W84" s="2"/>
      <c r="X84" s="6">
        <f t="shared" si="42"/>
        <v>0</v>
      </c>
      <c r="Y84" s="2"/>
      <c r="Z84" s="7">
        <f t="shared" si="43"/>
        <v>0</v>
      </c>
    </row>
    <row r="85" spans="1:26" s="29" customFormat="1" outlineLevel="1" collapsed="1" x14ac:dyDescent="0.25">
      <c r="A85" s="27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1.3847346848343858E-4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105</v>
      </c>
      <c r="U85" s="1"/>
      <c r="V85" s="5">
        <f t="shared" si="41"/>
        <v>7.7835606750793369E-5</v>
      </c>
      <c r="W85" s="1"/>
      <c r="X85" s="1">
        <f t="shared" si="42"/>
        <v>-105</v>
      </c>
      <c r="Y85" s="1"/>
      <c r="Z85" s="5">
        <f t="shared" si="43"/>
        <v>-1</v>
      </c>
    </row>
    <row r="86" spans="1:26" s="24" customFormat="1" hidden="1" outlineLevel="2" x14ac:dyDescent="0.25">
      <c r="A86" s="28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6"/>
        <v>0</v>
      </c>
      <c r="G86" s="2"/>
      <c r="H86" s="6">
        <v>20</v>
      </c>
      <c r="I86" s="2"/>
      <c r="J86" s="7">
        <f t="shared" si="37"/>
        <v>1.3847346848343858E-4</v>
      </c>
      <c r="K86" s="2"/>
      <c r="L86" s="6">
        <f t="shared" si="38"/>
        <v>-20</v>
      </c>
      <c r="M86" s="2"/>
      <c r="N86" s="7">
        <f t="shared" si="39"/>
        <v>-1</v>
      </c>
      <c r="O86" s="11"/>
      <c r="P86" s="6"/>
      <c r="Q86" s="2"/>
      <c r="R86" s="7">
        <f t="shared" si="40"/>
        <v>0</v>
      </c>
      <c r="S86" s="2"/>
      <c r="T86" s="6">
        <v>105</v>
      </c>
      <c r="U86" s="2"/>
      <c r="V86" s="7">
        <f t="shared" si="41"/>
        <v>7.7835606750793369E-5</v>
      </c>
      <c r="W86" s="2"/>
      <c r="X86" s="6">
        <f t="shared" si="42"/>
        <v>-105</v>
      </c>
      <c r="Y86" s="2"/>
      <c r="Z86" s="7">
        <f t="shared" si="43"/>
        <v>-1</v>
      </c>
    </row>
    <row r="87" spans="1:26" s="29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176.21</v>
      </c>
      <c r="E87" s="1"/>
      <c r="F87" s="5">
        <f t="shared" si="36"/>
        <v>2.947573801001884E-3</v>
      </c>
      <c r="G87" s="1"/>
      <c r="H87" s="1">
        <f>SUM(OSRRefH22_10x_0)</f>
        <v>310</v>
      </c>
      <c r="I87" s="1"/>
      <c r="J87" s="5">
        <f t="shared" si="37"/>
        <v>2.1463387614932979E-3</v>
      </c>
      <c r="K87" s="1"/>
      <c r="L87" s="1">
        <f t="shared" si="38"/>
        <v>-133.79</v>
      </c>
      <c r="M87" s="1"/>
      <c r="N87" s="5">
        <f t="shared" si="39"/>
        <v>-0.4315806451612903</v>
      </c>
      <c r="O87" s="14"/>
      <c r="P87" s="1">
        <f>SUM(OSRRefP22_10x_0)</f>
        <v>1700.71</v>
      </c>
      <c r="Q87" s="1"/>
      <c r="R87" s="5">
        <f t="shared" si="40"/>
        <v>1.4221137853248783E-3</v>
      </c>
      <c r="S87" s="1"/>
      <c r="T87" s="1">
        <f>SUM(OSRRefT22_10x_0)</f>
        <v>1550</v>
      </c>
      <c r="U87" s="1"/>
      <c r="V87" s="5">
        <f t="shared" si="41"/>
        <v>1.149001813940283E-3</v>
      </c>
      <c r="W87" s="1"/>
      <c r="X87" s="1">
        <f t="shared" si="42"/>
        <v>150.71000000000004</v>
      </c>
      <c r="Y87" s="1"/>
      <c r="Z87" s="5">
        <f t="shared" si="43"/>
        <v>9.7232258064516158E-2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0</v>
      </c>
      <c r="M88" s="2"/>
      <c r="N88" s="7">
        <f t="shared" si="39"/>
        <v>0</v>
      </c>
      <c r="O88" s="11"/>
      <c r="P88" s="6">
        <v>668.12</v>
      </c>
      <c r="Q88" s="2"/>
      <c r="R88" s="7">
        <f t="shared" si="40"/>
        <v>5.5867411978012581E-4</v>
      </c>
      <c r="S88" s="2"/>
      <c r="T88" s="6"/>
      <c r="U88" s="2"/>
      <c r="V88" s="7">
        <f t="shared" si="41"/>
        <v>0</v>
      </c>
      <c r="W88" s="2"/>
      <c r="X88" s="6">
        <f t="shared" si="42"/>
        <v>668.12</v>
      </c>
      <c r="Y88" s="2"/>
      <c r="Z88" s="7">
        <f t="shared" si="43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6">
        <v>176.21</v>
      </c>
      <c r="E89" s="2"/>
      <c r="F89" s="7">
        <f t="shared" si="36"/>
        <v>2.947573801001884E-3</v>
      </c>
      <c r="G89" s="2"/>
      <c r="H89" s="6">
        <v>110</v>
      </c>
      <c r="I89" s="2"/>
      <c r="J89" s="7">
        <f t="shared" si="37"/>
        <v>7.6160407665891211E-4</v>
      </c>
      <c r="K89" s="2"/>
      <c r="L89" s="6">
        <f t="shared" si="38"/>
        <v>66.210000000000008</v>
      </c>
      <c r="M89" s="2"/>
      <c r="N89" s="7">
        <f t="shared" si="39"/>
        <v>0.60190909090909095</v>
      </c>
      <c r="O89" s="11"/>
      <c r="P89" s="6">
        <v>1032.5899999999999</v>
      </c>
      <c r="Q89" s="2"/>
      <c r="R89" s="7">
        <f t="shared" si="40"/>
        <v>8.6343966554475247E-4</v>
      </c>
      <c r="S89" s="2"/>
      <c r="T89" s="6">
        <v>550</v>
      </c>
      <c r="U89" s="2"/>
      <c r="V89" s="7">
        <f t="shared" si="41"/>
        <v>4.0771032107558429E-4</v>
      </c>
      <c r="W89" s="2"/>
      <c r="X89" s="6">
        <f t="shared" si="42"/>
        <v>482.58999999999992</v>
      </c>
      <c r="Y89" s="2"/>
      <c r="Z89" s="7">
        <f t="shared" si="43"/>
        <v>0.87743636363636346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36"/>
        <v>0</v>
      </c>
      <c r="G90" s="2"/>
      <c r="H90" s="6">
        <v>200</v>
      </c>
      <c r="I90" s="2"/>
      <c r="J90" s="7">
        <f t="shared" si="37"/>
        <v>1.3847346848343857E-3</v>
      </c>
      <c r="K90" s="2"/>
      <c r="L90" s="6">
        <f t="shared" si="38"/>
        <v>-200</v>
      </c>
      <c r="M90" s="2"/>
      <c r="N90" s="7">
        <f t="shared" si="39"/>
        <v>-1</v>
      </c>
      <c r="O90" s="11"/>
      <c r="P90" s="6"/>
      <c r="Q90" s="2"/>
      <c r="R90" s="7">
        <f t="shared" si="40"/>
        <v>0</v>
      </c>
      <c r="S90" s="2"/>
      <c r="T90" s="6">
        <v>1000</v>
      </c>
      <c r="U90" s="2"/>
      <c r="V90" s="7">
        <f t="shared" si="41"/>
        <v>7.4129149286469875E-4</v>
      </c>
      <c r="W90" s="2"/>
      <c r="X90" s="6">
        <f t="shared" si="42"/>
        <v>-1000</v>
      </c>
      <c r="Y90" s="2"/>
      <c r="Z90" s="7">
        <f t="shared" si="43"/>
        <v>-1</v>
      </c>
    </row>
    <row r="91" spans="1:26" s="29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304.5</v>
      </c>
      <c r="E91" s="1"/>
      <c r="F91" s="5">
        <f t="shared" ref="F91:F94" si="44">IF(D$12=0,0,D91/D$12)</f>
        <v>5.0935600840194863E-3</v>
      </c>
      <c r="G91" s="1"/>
      <c r="H91" s="1">
        <f>SUM(OSRRefH22_11x_0)</f>
        <v>250</v>
      </c>
      <c r="I91" s="1"/>
      <c r="J91" s="5">
        <f t="shared" ref="J91:J94" si="45">IF(H$12=0,0,H91/H$12)</f>
        <v>1.7309183560429821E-3</v>
      </c>
      <c r="K91" s="1"/>
      <c r="L91" s="1">
        <f t="shared" ref="L91:L94" si="46">+D91-H91</f>
        <v>54.5</v>
      </c>
      <c r="M91" s="1"/>
      <c r="N91" s="5">
        <f t="shared" ref="N91:N94" si="47">IF(H91=0,0,L91/H91)</f>
        <v>0.218</v>
      </c>
      <c r="O91" s="14"/>
      <c r="P91" s="1">
        <f>SUM(OSRRefP22_11x_0)</f>
        <v>1570.35</v>
      </c>
      <c r="Q91" s="1"/>
      <c r="R91" s="5">
        <f t="shared" ref="R91:R94" si="48">IF(P$12=0,0,P91/P$12)</f>
        <v>1.313108279944801E-3</v>
      </c>
      <c r="S91" s="1"/>
      <c r="T91" s="1">
        <f>SUM(OSRRefT22_11x_0)</f>
        <v>1260</v>
      </c>
      <c r="U91" s="1"/>
      <c r="V91" s="5">
        <f t="shared" ref="V91:V94" si="49">IF(T$12=0,0,T91/T$12)</f>
        <v>9.3402728100952037E-4</v>
      </c>
      <c r="W91" s="1"/>
      <c r="X91" s="1">
        <f t="shared" ref="X91:X94" si="50">+P91-T91</f>
        <v>310.34999999999991</v>
      </c>
      <c r="Y91" s="1"/>
      <c r="Z91" s="5">
        <f t="shared" ref="Z91:Z94" si="51">IF(T91=0,0,X91/T91)</f>
        <v>0.24630952380952373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6">
        <v>304.5</v>
      </c>
      <c r="E92" s="2"/>
      <c r="F92" s="7">
        <f t="shared" si="44"/>
        <v>5.0935600840194863E-3</v>
      </c>
      <c r="G92" s="2"/>
      <c r="H92" s="6">
        <v>250</v>
      </c>
      <c r="I92" s="2"/>
      <c r="J92" s="7">
        <f t="shared" si="45"/>
        <v>1.7309183560429821E-3</v>
      </c>
      <c r="K92" s="2"/>
      <c r="L92" s="6">
        <f t="shared" si="46"/>
        <v>54.5</v>
      </c>
      <c r="M92" s="2"/>
      <c r="N92" s="7">
        <f t="shared" si="47"/>
        <v>0.218</v>
      </c>
      <c r="O92" s="11"/>
      <c r="P92" s="6">
        <v>1570.35</v>
      </c>
      <c r="Q92" s="2"/>
      <c r="R92" s="7">
        <f t="shared" si="48"/>
        <v>1.313108279944801E-3</v>
      </c>
      <c r="S92" s="2"/>
      <c r="T92" s="6">
        <v>1260</v>
      </c>
      <c r="U92" s="2"/>
      <c r="V92" s="7">
        <f t="shared" si="49"/>
        <v>9.3402728100952037E-4</v>
      </c>
      <c r="W92" s="2"/>
      <c r="X92" s="6">
        <f t="shared" si="50"/>
        <v>310.34999999999991</v>
      </c>
      <c r="Y92" s="2"/>
      <c r="Z92" s="7">
        <f t="shared" si="51"/>
        <v>0.24630952380952373</v>
      </c>
    </row>
    <row r="93" spans="1:26" s="29" customFormat="1" outlineLevel="1" collapsed="1" x14ac:dyDescent="0.25">
      <c r="A93" s="27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SUM(OSRRefD22_12x_0)</f>
        <v>0</v>
      </c>
      <c r="E93" s="1"/>
      <c r="F93" s="5">
        <f t="shared" si="44"/>
        <v>0</v>
      </c>
      <c r="G93" s="1"/>
      <c r="H93" s="1">
        <f>SUM(OSRRefH22_12x_0)</f>
        <v>0</v>
      </c>
      <c r="I93" s="1"/>
      <c r="J93" s="5">
        <f t="shared" si="45"/>
        <v>0</v>
      </c>
      <c r="K93" s="1"/>
      <c r="L93" s="1">
        <f t="shared" si="46"/>
        <v>0</v>
      </c>
      <c r="M93" s="1"/>
      <c r="N93" s="5">
        <f t="shared" si="47"/>
        <v>0</v>
      </c>
      <c r="O93" s="14"/>
      <c r="P93" s="1">
        <f>SUM(OSRRefP22_12x_0)</f>
        <v>100</v>
      </c>
      <c r="Q93" s="1"/>
      <c r="R93" s="5">
        <f t="shared" si="48"/>
        <v>8.3618828919973322E-5</v>
      </c>
      <c r="S93" s="1"/>
      <c r="T93" s="1">
        <f>SUM(OSRRefT22_12x_0)</f>
        <v>0</v>
      </c>
      <c r="U93" s="1"/>
      <c r="V93" s="5">
        <f t="shared" si="49"/>
        <v>0</v>
      </c>
      <c r="W93" s="1"/>
      <c r="X93" s="1">
        <f t="shared" si="50"/>
        <v>100</v>
      </c>
      <c r="Y93" s="1"/>
      <c r="Z93" s="5">
        <f t="shared" si="51"/>
        <v>0</v>
      </c>
    </row>
    <row r="94" spans="1:26" s="24" customFormat="1" hidden="1" outlineLevel="2" x14ac:dyDescent="0.25">
      <c r="A94" s="28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100</v>
      </c>
      <c r="Q94" s="2"/>
      <c r="R94" s="7">
        <f t="shared" si="48"/>
        <v>8.3618828919973322E-5</v>
      </c>
      <c r="S94" s="2"/>
      <c r="T94" s="6"/>
      <c r="U94" s="2"/>
      <c r="V94" s="7">
        <f t="shared" si="49"/>
        <v>0</v>
      </c>
      <c r="W94" s="2"/>
      <c r="X94" s="6">
        <f t="shared" si="50"/>
        <v>100</v>
      </c>
      <c r="Y94" s="2"/>
      <c r="Z94" s="7">
        <f t="shared" si="51"/>
        <v>0</v>
      </c>
    </row>
    <row r="95" spans="1:26" s="62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6" t="s">
        <v>0</v>
      </c>
      <c r="C96" s="10"/>
      <c r="D96" s="4">
        <f>SUM(OSRRefD25x_0)</f>
        <v>-368.13</v>
      </c>
      <c r="E96" s="4"/>
      <c r="F96" s="12">
        <f t="shared" ref="F96:F98" si="52">IF(D$12=0,0,D96/D$12)</f>
        <v>-6.1579385015766612E-3</v>
      </c>
      <c r="G96" s="4"/>
      <c r="H96" s="4">
        <f>SUM(OSRRefH25x_0)</f>
        <v>1149</v>
      </c>
      <c r="I96" s="4"/>
      <c r="J96" s="12">
        <f t="shared" ref="J96:J98" si="53">IF(H$12=0,0,H96/H$12)</f>
        <v>7.9553007643735456E-3</v>
      </c>
      <c r="K96" s="4"/>
      <c r="L96" s="4">
        <f t="shared" ref="L96:L98" si="54">+D96-H96</f>
        <v>-1517.13</v>
      </c>
      <c r="M96" s="4"/>
      <c r="N96" s="12">
        <f t="shared" ref="N96:N98" si="55">IF(H96=0,0,L96/H96)</f>
        <v>-1.3203916449086164</v>
      </c>
      <c r="O96" s="10"/>
      <c r="P96" s="4">
        <f>SUM(OSRRefP25x_0)</f>
        <v>755.11</v>
      </c>
      <c r="Q96" s="4"/>
      <c r="R96" s="12">
        <f t="shared" ref="R96:R98" si="56">IF(P$12=0,0,P96/P$12)</f>
        <v>6.3141413905761054E-4</v>
      </c>
      <c r="S96" s="4"/>
      <c r="T96" s="4">
        <f>SUM(OSRRefT25x_0)</f>
        <v>10729</v>
      </c>
      <c r="U96" s="4"/>
      <c r="V96" s="12">
        <f t="shared" ref="V96:V98" si="57">IF(T$12=0,0,T96/T$12)</f>
        <v>7.9533164269453525E-3</v>
      </c>
      <c r="W96" s="4"/>
      <c r="X96" s="4">
        <f t="shared" ref="X96:X98" si="58">+P96-T96</f>
        <v>-9973.89</v>
      </c>
      <c r="Y96" s="4"/>
      <c r="Z96" s="12">
        <f t="shared" ref="Z96:Z98" si="59">IF(T96=0,0,X96/T96)</f>
        <v>-0.92961972224811251</v>
      </c>
    </row>
    <row r="97" spans="1:26" s="24" customFormat="1" hidden="1" outlineLevel="1" x14ac:dyDescent="0.25">
      <c r="A97" s="51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-374.75</f>
        <v>-374.75</v>
      </c>
      <c r="E97" s="2"/>
      <c r="F97" s="22">
        <f t="shared" si="52"/>
        <v>-6.2686753414985304E-3</v>
      </c>
      <c r="G97" s="2"/>
      <c r="H97" s="2"/>
      <c r="I97" s="2"/>
      <c r="J97" s="22">
        <f t="shared" si="53"/>
        <v>0</v>
      </c>
      <c r="K97" s="2"/>
      <c r="L97" s="2">
        <f t="shared" si="54"/>
        <v>-374.75</v>
      </c>
      <c r="M97" s="2"/>
      <c r="N97" s="22">
        <f t="shared" si="55"/>
        <v>0</v>
      </c>
      <c r="O97" s="11"/>
      <c r="P97" s="2">
        <f>--563.21</f>
        <v>563.21</v>
      </c>
      <c r="Q97" s="2"/>
      <c r="R97" s="22">
        <f t="shared" si="56"/>
        <v>4.7094960636018181E-4</v>
      </c>
      <c r="S97" s="2"/>
      <c r="T97" s="2"/>
      <c r="U97" s="2"/>
      <c r="V97" s="22">
        <f t="shared" si="57"/>
        <v>0</v>
      </c>
      <c r="W97" s="2"/>
      <c r="X97" s="2">
        <f t="shared" si="58"/>
        <v>563.21</v>
      </c>
      <c r="Y97" s="2"/>
      <c r="Z97" s="22">
        <f t="shared" si="59"/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>--6.62</f>
        <v>6.62</v>
      </c>
      <c r="E98" s="2"/>
      <c r="F98" s="22">
        <f t="shared" si="52"/>
        <v>1.1073683992186863E-4</v>
      </c>
      <c r="G98" s="2"/>
      <c r="H98" s="2">
        <v>1149</v>
      </c>
      <c r="I98" s="2"/>
      <c r="J98" s="22">
        <f t="shared" si="53"/>
        <v>7.9553007643735456E-3</v>
      </c>
      <c r="K98" s="2"/>
      <c r="L98" s="2">
        <f t="shared" si="54"/>
        <v>-1142.3800000000001</v>
      </c>
      <c r="M98" s="2"/>
      <c r="N98" s="22">
        <f t="shared" si="55"/>
        <v>-0.99423846823324635</v>
      </c>
      <c r="O98" s="11"/>
      <c r="P98" s="2">
        <f>--191.9</f>
        <v>191.9</v>
      </c>
      <c r="Q98" s="2"/>
      <c r="R98" s="22">
        <f t="shared" si="56"/>
        <v>1.6046453269742881E-4</v>
      </c>
      <c r="S98" s="2"/>
      <c r="T98" s="2">
        <v>10729</v>
      </c>
      <c r="U98" s="2"/>
      <c r="V98" s="22">
        <f t="shared" si="57"/>
        <v>7.9533164269453525E-3</v>
      </c>
      <c r="W98" s="2"/>
      <c r="X98" s="2">
        <f t="shared" si="58"/>
        <v>-10537.1</v>
      </c>
      <c r="Y98" s="2"/>
      <c r="Z98" s="22">
        <f t="shared" si="59"/>
        <v>-0.98211389691490358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21">
        <f>+D45-D47+D96</f>
        <v>-13429.509999999993</v>
      </c>
      <c r="E100" s="13"/>
      <c r="F100" s="20">
        <f>IF(D$12=0,0,D100/D$12)</f>
        <v>-0.22464373098174217</v>
      </c>
      <c r="G100" s="13"/>
      <c r="H100" s="21">
        <f>+H45-H47+H96</f>
        <v>15882.090797153847</v>
      </c>
      <c r="I100" s="13"/>
      <c r="J100" s="20">
        <f>IF(H$12=0,0,H100/H$12)</f>
        <v>0.10996240997253966</v>
      </c>
      <c r="K100" s="16"/>
      <c r="L100" s="21">
        <f>+D100-H100</f>
        <v>-29311.600797153842</v>
      </c>
      <c r="M100" s="16"/>
      <c r="N100" s="20">
        <f>IF(H100=0,0,L100/H100)</f>
        <v>-1.8455756972757411</v>
      </c>
      <c r="O100" s="26"/>
      <c r="P100" s="21">
        <f>+P45-P47+P96</f>
        <v>-11364.529999999693</v>
      </c>
      <c r="Q100" s="13"/>
      <c r="R100" s="20">
        <f>IF(P$12=0,0,P100/P$12)</f>
        <v>-9.5028868982587889E-3</v>
      </c>
      <c r="S100" s="13"/>
      <c r="T100" s="21">
        <f>+T45-T47+T96</f>
        <v>208007.15171434617</v>
      </c>
      <c r="U100" s="13"/>
      <c r="V100" s="20">
        <f>IF(T$12=0,0,T100/T$12)</f>
        <v>0.15419393202086154</v>
      </c>
      <c r="W100" s="16"/>
      <c r="X100" s="21">
        <f>+P100-T100</f>
        <v>-219371.68171434588</v>
      </c>
      <c r="Y100" s="16"/>
      <c r="Z100" s="20">
        <f>IF(T100=0,0,X100/T100)</f>
        <v>-1.0546352849233112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-56079.39</v>
      </c>
      <c r="E102" s="4"/>
      <c r="F102" s="12">
        <f>IF(D$12=0,0,D102/D$12)</f>
        <v>-0.9380746878166224</v>
      </c>
      <c r="G102" s="4"/>
      <c r="H102" s="4">
        <v>43383</v>
      </c>
      <c r="I102" s="4"/>
      <c r="J102" s="12">
        <f>IF(H$12=0,0,H102/H$12)</f>
        <v>0.30036972416085078</v>
      </c>
      <c r="K102" s="4"/>
      <c r="L102" s="4">
        <f>+D102-H102</f>
        <v>-99462.39</v>
      </c>
      <c r="M102" s="4"/>
      <c r="N102" s="12">
        <f>IF(H102=0,0,L102/H102)</f>
        <v>-2.292658184081322</v>
      </c>
      <c r="O102" s="10"/>
      <c r="P102" s="4">
        <v>190029</v>
      </c>
      <c r="Q102" s="4"/>
      <c r="R102" s="12">
        <f>IF(P$12=0,0,P102/P$12)</f>
        <v>0.15890002440833612</v>
      </c>
      <c r="S102" s="4"/>
      <c r="T102" s="4">
        <v>240594</v>
      </c>
      <c r="U102" s="4"/>
      <c r="V102" s="12">
        <f>IF(T$12=0,0,T102/T$12)</f>
        <v>0.17835028543428932</v>
      </c>
      <c r="W102" s="4"/>
      <c r="X102" s="4">
        <f>+P102-T102</f>
        <v>-50565</v>
      </c>
      <c r="Y102" s="4"/>
      <c r="Z102" s="12">
        <f>IF(T102=0,0,X102/T102)</f>
        <v>-0.21016733584378663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1">
        <f>+D100-D102</f>
        <v>42649.880000000005</v>
      </c>
      <c r="E104" s="13"/>
      <c r="F104" s="34">
        <f>IF(D$12=0,0,D104/D$12)</f>
        <v>0.71343095683488023</v>
      </c>
      <c r="G104" s="13"/>
      <c r="H104" s="31">
        <f>+H100-H102</f>
        <v>-27500.909202846153</v>
      </c>
      <c r="I104" s="13"/>
      <c r="J104" s="34">
        <f>IF(H$12=0,0,H104/H$12)</f>
        <v>-0.19040731418831114</v>
      </c>
      <c r="K104" s="16"/>
      <c r="L104" s="31">
        <f>D104-H104</f>
        <v>70150.78920284615</v>
      </c>
      <c r="M104" s="16"/>
      <c r="N104" s="34">
        <f>IF(H104=0,0,L104/H104)</f>
        <v>-2.5508534530773272</v>
      </c>
      <c r="O104" s="26"/>
      <c r="P104" s="31">
        <f>+P100-P102</f>
        <v>-201393.52999999968</v>
      </c>
      <c r="Q104" s="13"/>
      <c r="R104" s="34">
        <f>IF(P$12=0,0,P104/P$12)</f>
        <v>-0.16840291130659488</v>
      </c>
      <c r="S104" s="13"/>
      <c r="T104" s="31">
        <f>+T100-T102</f>
        <v>-32586.848285653832</v>
      </c>
      <c r="U104" s="13"/>
      <c r="V104" s="34">
        <f>IF(T$12=0,0,T104/T$12)</f>
        <v>-2.4156353413427777E-2</v>
      </c>
      <c r="W104" s="16"/>
      <c r="X104" s="31">
        <f>P104-T104</f>
        <v>-168806.68171434585</v>
      </c>
      <c r="Y104" s="16"/>
      <c r="Z104" s="34">
        <f>IF(T104=0,0,X104/T104)</f>
        <v>5.1802089062004191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3">
        <f>SUM(D104:D106)</f>
        <v>42649.880000000005</v>
      </c>
      <c r="E107" s="13"/>
      <c r="F107" s="30">
        <f>IF(D$12=0,0,D107/D$12)</f>
        <v>0.71343095683488023</v>
      </c>
      <c r="G107" s="13"/>
      <c r="H107" s="33">
        <f>SUM(H104:H106)</f>
        <v>-27500.909202846153</v>
      </c>
      <c r="I107" s="13"/>
      <c r="J107" s="30">
        <f>IF(H$12=0,0,H107/H$12)</f>
        <v>-0.19040731418831114</v>
      </c>
      <c r="K107" s="16"/>
      <c r="L107" s="33">
        <f>+D107-H107</f>
        <v>70150.78920284615</v>
      </c>
      <c r="M107" s="16"/>
      <c r="N107" s="30">
        <f>IF(H107=0,0,L107/H107)</f>
        <v>-2.5508534530773272</v>
      </c>
      <c r="O107" s="26"/>
      <c r="P107" s="33">
        <f>SUM(P104:P106)</f>
        <v>-201393.52999999968</v>
      </c>
      <c r="Q107" s="13"/>
      <c r="R107" s="30">
        <f>IF(P$12=0,0,P107/P$12)</f>
        <v>-0.16840291130659488</v>
      </c>
      <c r="S107" s="13"/>
      <c r="T107" s="33">
        <f>SUM(T104:T106)</f>
        <v>-32586.848285653832</v>
      </c>
      <c r="U107" s="13"/>
      <c r="V107" s="30">
        <f>IF(T$12=0,0,T107/T$12)</f>
        <v>-2.4156353413427777E-2</v>
      </c>
      <c r="W107" s="16"/>
      <c r="X107" s="33">
        <f>+P107-T107</f>
        <v>-168806.68171434585</v>
      </c>
      <c r="Y107" s="16"/>
      <c r="Z107" s="30">
        <f>IF(T107=0,0,X107/T107)</f>
        <v>5.1802089062004191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5">
        <v>44174.679276423609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7" t="s">
        <v>314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59781.37</v>
      </c>
      <c r="E12" s="4"/>
      <c r="F12" s="12"/>
      <c r="G12" s="4"/>
      <c r="H12" s="4">
        <f>SUM(OSRRefH13x_0)</f>
        <v>144432</v>
      </c>
      <c r="I12" s="4"/>
      <c r="J12" s="12"/>
      <c r="K12" s="4"/>
      <c r="L12" s="4">
        <f t="shared" ref="L12:L30" si="0">+D12-H12</f>
        <v>-84650.63</v>
      </c>
      <c r="M12" s="4"/>
      <c r="N12" s="12">
        <f t="shared" ref="N12:N30" si="1">IF(H12=0,0,L12/H12)</f>
        <v>-0.58609331727041103</v>
      </c>
      <c r="O12" s="10"/>
      <c r="P12" s="4">
        <f>SUM(OSRRefP13x_0)</f>
        <v>1195902.9000000004</v>
      </c>
      <c r="Q12" s="4"/>
      <c r="R12" s="12"/>
      <c r="S12" s="4"/>
      <c r="T12" s="4">
        <f>SUM(OSRRefT13x_0)</f>
        <v>1348997</v>
      </c>
      <c r="U12" s="4"/>
      <c r="V12" s="12"/>
      <c r="W12" s="4"/>
      <c r="X12" s="4">
        <f t="shared" ref="X12:X30" si="2">+P12-T12</f>
        <v>-153094.09999999963</v>
      </c>
      <c r="Y12" s="4"/>
      <c r="Z12" s="12">
        <f t="shared" ref="Z12:Z30" si="3">IF(T12=0,0,X12/T12)</f>
        <v>-0.1134873539377772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-142.02</f>
        <v>-142.02000000000001</v>
      </c>
      <c r="E13" s="2"/>
      <c r="F13" s="22"/>
      <c r="G13" s="2"/>
      <c r="H13" s="2">
        <v>137456</v>
      </c>
      <c r="I13" s="2"/>
      <c r="J13" s="22"/>
      <c r="K13" s="2"/>
      <c r="L13" s="2">
        <f t="shared" si="0"/>
        <v>-137598.01999999999</v>
      </c>
      <c r="M13" s="2"/>
      <c r="N13" s="22">
        <f t="shared" si="1"/>
        <v>-1.0010332033523455</v>
      </c>
      <c r="O13" s="11"/>
      <c r="P13" s="2">
        <f>-2044.11</f>
        <v>-2044.11</v>
      </c>
      <c r="Q13" s="2"/>
      <c r="R13" s="22"/>
      <c r="S13" s="2"/>
      <c r="T13" s="2">
        <v>1277711</v>
      </c>
      <c r="U13" s="2"/>
      <c r="V13" s="22"/>
      <c r="W13" s="2"/>
      <c r="X13" s="2">
        <f t="shared" si="2"/>
        <v>-1279755.1100000001</v>
      </c>
      <c r="Y13" s="2"/>
      <c r="Z13" s="22">
        <f t="shared" si="3"/>
        <v>-1.0015998218689517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--973.93</f>
        <v>973.93</v>
      </c>
      <c r="E14" s="2"/>
      <c r="F14" s="22"/>
      <c r="G14" s="2"/>
      <c r="H14" s="2"/>
      <c r="I14" s="2"/>
      <c r="J14" s="22"/>
      <c r="K14" s="2"/>
      <c r="L14" s="2">
        <f t="shared" si="0"/>
        <v>973.93</v>
      </c>
      <c r="M14" s="2"/>
      <c r="N14" s="22">
        <f t="shared" si="1"/>
        <v>0</v>
      </c>
      <c r="O14" s="11"/>
      <c r="P14" s="2">
        <f>--56019.27</f>
        <v>56019.27</v>
      </c>
      <c r="Q14" s="2"/>
      <c r="R14" s="22"/>
      <c r="S14" s="2"/>
      <c r="T14" s="2"/>
      <c r="U14" s="2"/>
      <c r="V14" s="22"/>
      <c r="W14" s="2"/>
      <c r="X14" s="2">
        <f t="shared" si="2"/>
        <v>56019.27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--57494.9</f>
        <v>57494.9</v>
      </c>
      <c r="E15" s="2"/>
      <c r="F15" s="22"/>
      <c r="G15" s="2"/>
      <c r="H15" s="2"/>
      <c r="I15" s="2"/>
      <c r="J15" s="22"/>
      <c r="K15" s="2"/>
      <c r="L15" s="2">
        <f t="shared" si="0"/>
        <v>57494.9</v>
      </c>
      <c r="M15" s="2"/>
      <c r="N15" s="22">
        <f t="shared" si="1"/>
        <v>0</v>
      </c>
      <c r="O15" s="11"/>
      <c r="P15" s="2">
        <f>--949594.89</f>
        <v>949594.89</v>
      </c>
      <c r="Q15" s="2"/>
      <c r="R15" s="22"/>
      <c r="S15" s="2"/>
      <c r="T15" s="2"/>
      <c r="U15" s="2"/>
      <c r="V15" s="22"/>
      <c r="W15" s="2"/>
      <c r="X15" s="2">
        <f t="shared" si="2"/>
        <v>949594.89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--4805.85</f>
        <v>4805.8500000000004</v>
      </c>
      <c r="E16" s="2"/>
      <c r="F16" s="22"/>
      <c r="G16" s="2"/>
      <c r="H16" s="2"/>
      <c r="I16" s="2"/>
      <c r="J16" s="22"/>
      <c r="K16" s="2"/>
      <c r="L16" s="2">
        <f t="shared" si="0"/>
        <v>4805.8500000000004</v>
      </c>
      <c r="M16" s="2"/>
      <c r="N16" s="22">
        <f t="shared" si="1"/>
        <v>0</v>
      </c>
      <c r="O16" s="11"/>
      <c r="P16" s="2">
        <f>--76850.95</f>
        <v>76850.95</v>
      </c>
      <c r="Q16" s="2"/>
      <c r="R16" s="22"/>
      <c r="S16" s="2"/>
      <c r="T16" s="2"/>
      <c r="U16" s="2"/>
      <c r="V16" s="22"/>
      <c r="W16" s="2"/>
      <c r="X16" s="2">
        <f t="shared" si="2"/>
        <v>76850.95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--378.99</f>
        <v>378.99</v>
      </c>
      <c r="E17" s="2"/>
      <c r="F17" s="22"/>
      <c r="G17" s="2"/>
      <c r="H17" s="2"/>
      <c r="I17" s="2"/>
      <c r="J17" s="22"/>
      <c r="K17" s="2"/>
      <c r="L17" s="2">
        <f t="shared" si="0"/>
        <v>378.99</v>
      </c>
      <c r="M17" s="2"/>
      <c r="N17" s="22">
        <f t="shared" si="1"/>
        <v>0</v>
      </c>
      <c r="O17" s="11"/>
      <c r="P17" s="2">
        <f>--1499.95</f>
        <v>1499.95</v>
      </c>
      <c r="Q17" s="2"/>
      <c r="R17" s="22"/>
      <c r="S17" s="2"/>
      <c r="T17" s="2"/>
      <c r="U17" s="2"/>
      <c r="V17" s="22"/>
      <c r="W17" s="2"/>
      <c r="X17" s="2">
        <f t="shared" si="2"/>
        <v>1499.95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--260.94</f>
        <v>260.94</v>
      </c>
      <c r="E18" s="2"/>
      <c r="F18" s="22"/>
      <c r="G18" s="2"/>
      <c r="H18" s="2"/>
      <c r="I18" s="2"/>
      <c r="J18" s="22"/>
      <c r="K18" s="2"/>
      <c r="L18" s="2">
        <f t="shared" si="0"/>
        <v>260.94</v>
      </c>
      <c r="M18" s="2"/>
      <c r="N18" s="22">
        <f t="shared" si="1"/>
        <v>0</v>
      </c>
      <c r="O18" s="11"/>
      <c r="P18" s="2">
        <f>--29627.6</f>
        <v>29627.599999999999</v>
      </c>
      <c r="Q18" s="2"/>
      <c r="R18" s="22"/>
      <c r="S18" s="2"/>
      <c r="T18" s="2"/>
      <c r="U18" s="2"/>
      <c r="V18" s="22"/>
      <c r="W18" s="2"/>
      <c r="X18" s="2">
        <f t="shared" si="2"/>
        <v>29627.599999999999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6976</v>
      </c>
      <c r="I19" s="2"/>
      <c r="J19" s="22"/>
      <c r="K19" s="2"/>
      <c r="L19" s="2">
        <f t="shared" si="0"/>
        <v>-6976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71286</v>
      </c>
      <c r="U19" s="2"/>
      <c r="V19" s="22"/>
      <c r="W19" s="2"/>
      <c r="X19" s="2">
        <f t="shared" si="2"/>
        <v>-71286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--29.99</f>
        <v>29.99</v>
      </c>
      <c r="E20" s="2"/>
      <c r="F20" s="22"/>
      <c r="G20" s="2"/>
      <c r="H20" s="2"/>
      <c r="I20" s="2"/>
      <c r="J20" s="22"/>
      <c r="K20" s="2"/>
      <c r="L20" s="2">
        <f t="shared" si="0"/>
        <v>29.99</v>
      </c>
      <c r="M20" s="2"/>
      <c r="N20" s="22">
        <f t="shared" si="1"/>
        <v>0</v>
      </c>
      <c r="O20" s="11"/>
      <c r="P20" s="2">
        <f>--3534.12</f>
        <v>3534.12</v>
      </c>
      <c r="Q20" s="2"/>
      <c r="R20" s="22"/>
      <c r="S20" s="2"/>
      <c r="T20" s="2"/>
      <c r="U20" s="2"/>
      <c r="V20" s="22"/>
      <c r="W20" s="2"/>
      <c r="X20" s="2">
        <f t="shared" si="2"/>
        <v>3534.12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--9499.97</f>
        <v>9499.9699999999993</v>
      </c>
      <c r="E21" s="2"/>
      <c r="F21" s="22"/>
      <c r="G21" s="2"/>
      <c r="H21" s="2"/>
      <c r="I21" s="2"/>
      <c r="J21" s="22"/>
      <c r="K21" s="2"/>
      <c r="L21" s="2">
        <f t="shared" si="0"/>
        <v>9499.9699999999993</v>
      </c>
      <c r="M21" s="2"/>
      <c r="N21" s="22">
        <f t="shared" si="1"/>
        <v>0</v>
      </c>
      <c r="O21" s="11"/>
      <c r="P21" s="2">
        <f>--154794.35</f>
        <v>154794.35</v>
      </c>
      <c r="Q21" s="2"/>
      <c r="R21" s="22"/>
      <c r="S21" s="2"/>
      <c r="T21" s="2"/>
      <c r="U21" s="2"/>
      <c r="V21" s="22"/>
      <c r="W21" s="2"/>
      <c r="X21" s="2">
        <f t="shared" si="2"/>
        <v>154794.35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--1033.89</f>
        <v>1033.8900000000001</v>
      </c>
      <c r="E22" s="2"/>
      <c r="F22" s="22"/>
      <c r="G22" s="2"/>
      <c r="H22" s="2"/>
      <c r="I22" s="2"/>
      <c r="J22" s="22"/>
      <c r="K22" s="2"/>
      <c r="L22" s="2">
        <f t="shared" si="0"/>
        <v>1033.8900000000001</v>
      </c>
      <c r="M22" s="2"/>
      <c r="N22" s="22">
        <f t="shared" si="1"/>
        <v>0</v>
      </c>
      <c r="O22" s="11"/>
      <c r="P22" s="2">
        <f>--7370.28</f>
        <v>7370.28</v>
      </c>
      <c r="Q22" s="2"/>
      <c r="R22" s="22"/>
      <c r="S22" s="2"/>
      <c r="T22" s="2"/>
      <c r="U22" s="2"/>
      <c r="V22" s="22"/>
      <c r="W22" s="2"/>
      <c r="X22" s="2">
        <f t="shared" si="2"/>
        <v>7370.28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--1989.89</f>
        <v>1989.89</v>
      </c>
      <c r="E23" s="2"/>
      <c r="F23" s="22"/>
      <c r="G23" s="2"/>
      <c r="H23" s="2"/>
      <c r="I23" s="2"/>
      <c r="J23" s="22"/>
      <c r="K23" s="2"/>
      <c r="L23" s="2">
        <f t="shared" si="0"/>
        <v>1989.89</v>
      </c>
      <c r="M23" s="2"/>
      <c r="N23" s="22">
        <f t="shared" si="1"/>
        <v>0</v>
      </c>
      <c r="O23" s="11"/>
      <c r="P23" s="2">
        <f>--25806.74</f>
        <v>25806.74</v>
      </c>
      <c r="Q23" s="2"/>
      <c r="R23" s="22"/>
      <c r="S23" s="2"/>
      <c r="T23" s="2"/>
      <c r="U23" s="2"/>
      <c r="V23" s="22"/>
      <c r="W23" s="2"/>
      <c r="X23" s="2">
        <f t="shared" si="2"/>
        <v>25806.74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--44</f>
        <v>44</v>
      </c>
      <c r="E24" s="2"/>
      <c r="F24" s="22"/>
      <c r="G24" s="2"/>
      <c r="H24" s="2"/>
      <c r="I24" s="2"/>
      <c r="J24" s="22"/>
      <c r="K24" s="2"/>
      <c r="L24" s="2">
        <f t="shared" si="0"/>
        <v>44</v>
      </c>
      <c r="M24" s="2"/>
      <c r="N24" s="22">
        <f t="shared" si="1"/>
        <v>0</v>
      </c>
      <c r="O24" s="11"/>
      <c r="P24" s="2">
        <f>--1773.77</f>
        <v>1773.77</v>
      </c>
      <c r="Q24" s="2"/>
      <c r="R24" s="22"/>
      <c r="S24" s="2"/>
      <c r="T24" s="2"/>
      <c r="U24" s="2"/>
      <c r="V24" s="22"/>
      <c r="W24" s="2"/>
      <c r="X24" s="2">
        <f t="shared" si="2"/>
        <v>1773.77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-15761.01</f>
        <v>-15761.01</v>
      </c>
      <c r="E26" s="2"/>
      <c r="F26" s="22"/>
      <c r="G26" s="2"/>
      <c r="H26" s="2"/>
      <c r="I26" s="2"/>
      <c r="J26" s="22"/>
      <c r="K26" s="2"/>
      <c r="L26" s="2">
        <f t="shared" si="0"/>
        <v>-15761.01</v>
      </c>
      <c r="M26" s="2"/>
      <c r="N26" s="22">
        <f t="shared" si="1"/>
        <v>0</v>
      </c>
      <c r="O26" s="11"/>
      <c r="P26" s="2">
        <f>-84084.01</f>
        <v>-84084.01</v>
      </c>
      <c r="Q26" s="2"/>
      <c r="R26" s="22"/>
      <c r="S26" s="2"/>
      <c r="T26" s="2"/>
      <c r="U26" s="2"/>
      <c r="V26" s="22"/>
      <c r="W26" s="2"/>
      <c r="X26" s="2">
        <f t="shared" si="2"/>
        <v>-84084.01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-678.96</f>
        <v>-678.96</v>
      </c>
      <c r="E27" s="2"/>
      <c r="F27" s="22"/>
      <c r="G27" s="2"/>
      <c r="H27" s="2"/>
      <c r="I27" s="2"/>
      <c r="J27" s="22"/>
      <c r="K27" s="2"/>
      <c r="L27" s="2">
        <f t="shared" si="0"/>
        <v>-678.96</v>
      </c>
      <c r="M27" s="2"/>
      <c r="N27" s="22">
        <f t="shared" si="1"/>
        <v>0</v>
      </c>
      <c r="O27" s="11"/>
      <c r="P27" s="2">
        <f>-3311.27</f>
        <v>-3311.27</v>
      </c>
      <c r="Q27" s="2"/>
      <c r="R27" s="22"/>
      <c r="S27" s="2"/>
      <c r="T27" s="2"/>
      <c r="U27" s="2"/>
      <c r="V27" s="22"/>
      <c r="W27" s="2"/>
      <c r="X27" s="2">
        <f t="shared" si="2"/>
        <v>-3311.27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-139</f>
        <v>-139</v>
      </c>
      <c r="E28" s="2"/>
      <c r="F28" s="22"/>
      <c r="G28" s="2"/>
      <c r="H28" s="2"/>
      <c r="I28" s="2"/>
      <c r="J28" s="22"/>
      <c r="K28" s="2"/>
      <c r="L28" s="2">
        <f t="shared" si="0"/>
        <v>-139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-9.99</f>
        <v>-9.99</v>
      </c>
      <c r="E29" s="2"/>
      <c r="F29" s="22"/>
      <c r="G29" s="2"/>
      <c r="H29" s="2"/>
      <c r="I29" s="2"/>
      <c r="J29" s="22"/>
      <c r="K29" s="2"/>
      <c r="L29" s="2">
        <f t="shared" si="0"/>
        <v>-9.99</v>
      </c>
      <c r="M29" s="2"/>
      <c r="N29" s="22">
        <f t="shared" si="1"/>
        <v>0</v>
      </c>
      <c r="O29" s="11"/>
      <c r="P29" s="2">
        <f>-581.35</f>
        <v>-581.35</v>
      </c>
      <c r="Q29" s="2"/>
      <c r="R29" s="22"/>
      <c r="S29" s="2"/>
      <c r="T29" s="2"/>
      <c r="U29" s="2"/>
      <c r="V29" s="22"/>
      <c r="W29" s="2"/>
      <c r="X29" s="2">
        <f t="shared" si="2"/>
        <v>-581.35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60363.839999999997</v>
      </c>
      <c r="E32" s="4"/>
      <c r="F32" s="12">
        <f t="shared" ref="F32:F43" si="4">IF(D$12=0,0,D32/D$12)</f>
        <v>1.0097433364273851</v>
      </c>
      <c r="G32" s="4"/>
      <c r="H32" s="4">
        <f>SUM(OSRRefH16x_0)</f>
        <v>112796</v>
      </c>
      <c r="I32" s="4"/>
      <c r="J32" s="12">
        <f t="shared" ref="J32:J43" si="5">IF(H$12=0,0,H32/H$12)</f>
        <v>0.78096266755289689</v>
      </c>
      <c r="K32" s="4"/>
      <c r="L32" s="4">
        <f t="shared" ref="L32:L43" si="6">+D32-H32</f>
        <v>-52432.160000000003</v>
      </c>
      <c r="M32" s="4"/>
      <c r="N32" s="12">
        <f t="shared" ref="N32:N43" si="7">IF(H32=0,0,L32/H32)</f>
        <v>-0.46484059718429732</v>
      </c>
      <c r="O32" s="10"/>
      <c r="P32" s="4">
        <f>SUM(OSRRefP16x_0)</f>
        <v>1141638.8400000001</v>
      </c>
      <c r="Q32" s="4"/>
      <c r="R32" s="12">
        <f t="shared" ref="R32:R43" si="8">IF(P$12=0,0,P32/P$12)</f>
        <v>0.95462502850356812</v>
      </c>
      <c r="S32" s="4"/>
      <c r="T32" s="4">
        <f>SUM(OSRRefT16x_0)</f>
        <v>1053516</v>
      </c>
      <c r="U32" s="4"/>
      <c r="V32" s="12">
        <f t="shared" ref="V32:V43" si="9">IF(T$12=0,0,T32/T$12)</f>
        <v>0.78096244839684592</v>
      </c>
      <c r="W32" s="4"/>
      <c r="X32" s="4">
        <f t="shared" ref="X32:X43" si="10">+P32-T32</f>
        <v>88122.840000000084</v>
      </c>
      <c r="Y32" s="4"/>
      <c r="Z32" s="12">
        <f t="shared" ref="Z32:Z43" si="11">IF(T32=0,0,X32/T32)</f>
        <v>8.3646418279361756E-2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112796</v>
      </c>
      <c r="I33" s="2"/>
      <c r="J33" s="22">
        <f t="shared" si="5"/>
        <v>0.78096266755289689</v>
      </c>
      <c r="K33" s="2"/>
      <c r="L33" s="2">
        <f t="shared" si="6"/>
        <v>-112796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1053516</v>
      </c>
      <c r="U33" s="2"/>
      <c r="V33" s="22">
        <f t="shared" si="9"/>
        <v>0.78096244839684592</v>
      </c>
      <c r="W33" s="2"/>
      <c r="X33" s="2">
        <f t="shared" si="10"/>
        <v>-1053516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2367.86</v>
      </c>
      <c r="E34" s="2"/>
      <c r="F34" s="22">
        <f t="shared" si="4"/>
        <v>3.9608660691449527E-2</v>
      </c>
      <c r="G34" s="2"/>
      <c r="H34" s="2"/>
      <c r="I34" s="2"/>
      <c r="J34" s="22">
        <f t="shared" si="5"/>
        <v>0</v>
      </c>
      <c r="K34" s="2"/>
      <c r="L34" s="2">
        <f t="shared" si="6"/>
        <v>2367.86</v>
      </c>
      <c r="M34" s="2"/>
      <c r="N34" s="22">
        <f t="shared" si="7"/>
        <v>0</v>
      </c>
      <c r="O34" s="11"/>
      <c r="P34" s="2">
        <v>24315.070000000003</v>
      </c>
      <c r="Q34" s="2"/>
      <c r="R34" s="22">
        <f t="shared" si="8"/>
        <v>2.0331976785071763E-2</v>
      </c>
      <c r="S34" s="2"/>
      <c r="T34" s="2"/>
      <c r="U34" s="2"/>
      <c r="V34" s="22">
        <f t="shared" si="9"/>
        <v>0</v>
      </c>
      <c r="W34" s="2"/>
      <c r="X34" s="2">
        <f t="shared" si="10"/>
        <v>24315.070000000003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71242.03</v>
      </c>
      <c r="E35" s="2"/>
      <c r="F35" s="22">
        <f t="shared" si="4"/>
        <v>1.1917095576765804</v>
      </c>
      <c r="G35" s="2"/>
      <c r="H35" s="2"/>
      <c r="I35" s="2"/>
      <c r="J35" s="22">
        <f t="shared" si="5"/>
        <v>0</v>
      </c>
      <c r="K35" s="2"/>
      <c r="L35" s="2">
        <f t="shared" si="6"/>
        <v>71242.03</v>
      </c>
      <c r="M35" s="2"/>
      <c r="N35" s="22">
        <f t="shared" si="7"/>
        <v>0</v>
      </c>
      <c r="O35" s="11"/>
      <c r="P35" s="2">
        <v>960020.1100000001</v>
      </c>
      <c r="Q35" s="2"/>
      <c r="R35" s="22">
        <f t="shared" si="8"/>
        <v>0.80275757337823983</v>
      </c>
      <c r="S35" s="2"/>
      <c r="T35" s="2"/>
      <c r="U35" s="2"/>
      <c r="V35" s="22">
        <f t="shared" si="9"/>
        <v>0</v>
      </c>
      <c r="W35" s="2"/>
      <c r="X35" s="2">
        <f t="shared" si="10"/>
        <v>960020.1100000001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2620.17</v>
      </c>
      <c r="E36" s="2"/>
      <c r="F36" s="22">
        <f t="shared" si="4"/>
        <v>4.3829206322973192E-2</v>
      </c>
      <c r="G36" s="2"/>
      <c r="H36" s="2"/>
      <c r="I36" s="2"/>
      <c r="J36" s="22">
        <f t="shared" si="5"/>
        <v>0</v>
      </c>
      <c r="K36" s="2"/>
      <c r="L36" s="2">
        <f t="shared" si="6"/>
        <v>2620.17</v>
      </c>
      <c r="M36" s="2"/>
      <c r="N36" s="22">
        <f t="shared" si="7"/>
        <v>0</v>
      </c>
      <c r="O36" s="11"/>
      <c r="P36" s="2">
        <v>75893.119999999995</v>
      </c>
      <c r="Q36" s="2"/>
      <c r="R36" s="22">
        <f t="shared" si="8"/>
        <v>6.3460938174830062E-2</v>
      </c>
      <c r="S36" s="2"/>
      <c r="T36" s="2"/>
      <c r="U36" s="2"/>
      <c r="V36" s="22">
        <f t="shared" si="9"/>
        <v>0</v>
      </c>
      <c r="W36" s="2"/>
      <c r="X36" s="2">
        <f t="shared" si="10"/>
        <v>75893.119999999995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3394.72</v>
      </c>
      <c r="E37" s="2"/>
      <c r="F37" s="22">
        <f t="shared" si="4"/>
        <v>5.6785583870025053E-2</v>
      </c>
      <c r="G37" s="2"/>
      <c r="H37" s="2"/>
      <c r="I37" s="2"/>
      <c r="J37" s="22">
        <f t="shared" si="5"/>
        <v>0</v>
      </c>
      <c r="K37" s="2"/>
      <c r="L37" s="2">
        <f t="shared" si="6"/>
        <v>3394.72</v>
      </c>
      <c r="M37" s="2"/>
      <c r="N37" s="22">
        <f t="shared" si="7"/>
        <v>0</v>
      </c>
      <c r="O37" s="11"/>
      <c r="P37" s="2">
        <v>24075.919999999998</v>
      </c>
      <c r="Q37" s="2"/>
      <c r="R37" s="22">
        <f t="shared" si="8"/>
        <v>2.0132002355709642E-2</v>
      </c>
      <c r="S37" s="2"/>
      <c r="T37" s="2"/>
      <c r="U37" s="2"/>
      <c r="V37" s="22">
        <f t="shared" si="9"/>
        <v>0</v>
      </c>
      <c r="W37" s="2"/>
      <c r="X37" s="2">
        <f t="shared" si="10"/>
        <v>24075.919999999998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189.17</v>
      </c>
      <c r="E38" s="2"/>
      <c r="F38" s="22">
        <f t="shared" si="4"/>
        <v>3.1643637474350283E-3</v>
      </c>
      <c r="G38" s="2"/>
      <c r="H38" s="2"/>
      <c r="I38" s="2"/>
      <c r="J38" s="22">
        <f t="shared" si="5"/>
        <v>0</v>
      </c>
      <c r="K38" s="2"/>
      <c r="L38" s="2">
        <f t="shared" si="6"/>
        <v>189.17</v>
      </c>
      <c r="M38" s="2"/>
      <c r="N38" s="22">
        <f t="shared" si="7"/>
        <v>0</v>
      </c>
      <c r="O38" s="11"/>
      <c r="P38" s="2">
        <v>22718.609999999997</v>
      </c>
      <c r="Q38" s="2"/>
      <c r="R38" s="22">
        <f t="shared" si="8"/>
        <v>1.8997035628895948E-2</v>
      </c>
      <c r="S38" s="2"/>
      <c r="T38" s="2"/>
      <c r="U38" s="2"/>
      <c r="V38" s="22">
        <f t="shared" si="9"/>
        <v>0</v>
      </c>
      <c r="W38" s="2"/>
      <c r="X38" s="2">
        <f t="shared" si="10"/>
        <v>22718.609999999997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-75868.11</v>
      </c>
      <c r="E39" s="2"/>
      <c r="F39" s="22">
        <f t="shared" si="4"/>
        <v>-1.2690928628768461</v>
      </c>
      <c r="G39" s="2"/>
      <c r="H39" s="2"/>
      <c r="I39" s="2"/>
      <c r="J39" s="22">
        <f t="shared" si="5"/>
        <v>0</v>
      </c>
      <c r="K39" s="2"/>
      <c r="L39" s="2">
        <f t="shared" si="6"/>
        <v>-75868.11</v>
      </c>
      <c r="M39" s="2"/>
      <c r="N39" s="22">
        <f t="shared" si="7"/>
        <v>0</v>
      </c>
      <c r="O39" s="11"/>
      <c r="P39" s="2">
        <v>-1103420.28</v>
      </c>
      <c r="Q39" s="2"/>
      <c r="R39" s="22">
        <f t="shared" si="8"/>
        <v>-0.92266711620149067</v>
      </c>
      <c r="S39" s="2"/>
      <c r="T39" s="2"/>
      <c r="U39" s="2"/>
      <c r="V39" s="22">
        <f t="shared" si="9"/>
        <v>0</v>
      </c>
      <c r="W39" s="2"/>
      <c r="X39" s="2">
        <f t="shared" si="10"/>
        <v>-1103420.28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56418</v>
      </c>
      <c r="E40" s="2"/>
      <c r="F40" s="22">
        <f t="shared" si="4"/>
        <v>0.94373882699576805</v>
      </c>
      <c r="G40" s="2"/>
      <c r="H40" s="2"/>
      <c r="I40" s="2"/>
      <c r="J40" s="22">
        <f t="shared" si="5"/>
        <v>0</v>
      </c>
      <c r="K40" s="2"/>
      <c r="L40" s="2">
        <f t="shared" si="6"/>
        <v>56418</v>
      </c>
      <c r="M40" s="2"/>
      <c r="N40" s="22">
        <f t="shared" si="7"/>
        <v>0</v>
      </c>
      <c r="O40" s="11"/>
      <c r="P40" s="2">
        <v>1137693</v>
      </c>
      <c r="Q40" s="2"/>
      <c r="R40" s="22">
        <f t="shared" si="8"/>
        <v>0.95132556330451212</v>
      </c>
      <c r="S40" s="2"/>
      <c r="T40" s="2"/>
      <c r="U40" s="2"/>
      <c r="V40" s="22">
        <f t="shared" si="9"/>
        <v>0</v>
      </c>
      <c r="W40" s="2"/>
      <c r="X40" s="2">
        <f t="shared" si="10"/>
        <v>1137693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94</v>
      </c>
      <c r="Q41" s="2"/>
      <c r="R41" s="22">
        <f t="shared" si="8"/>
        <v>7.8601699184774925E-5</v>
      </c>
      <c r="S41" s="2"/>
      <c r="T41" s="2"/>
      <c r="U41" s="2"/>
      <c r="V41" s="22">
        <f t="shared" si="9"/>
        <v>0</v>
      </c>
      <c r="W41" s="2"/>
      <c r="X41" s="2">
        <f t="shared" si="10"/>
        <v>94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225.17</v>
      </c>
      <c r="Q42" s="2"/>
      <c r="R42" s="22">
        <f t="shared" si="8"/>
        <v>1.8828451707910392E-4</v>
      </c>
      <c r="S42" s="2"/>
      <c r="T42" s="2"/>
      <c r="U42" s="2"/>
      <c r="V42" s="22">
        <f t="shared" si="9"/>
        <v>0</v>
      </c>
      <c r="W42" s="2"/>
      <c r="X42" s="2">
        <f t="shared" si="10"/>
        <v>225.17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2.0168861535497566E-5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5" t="s">
        <v>6</v>
      </c>
      <c r="C45" s="25"/>
      <c r="D45" s="21">
        <f>D12-D32</f>
        <v>-582.46999999999389</v>
      </c>
      <c r="E45" s="13"/>
      <c r="F45" s="20">
        <f>IF(D$12=0,0,D45/D$12)</f>
        <v>-9.7433364273852175E-3</v>
      </c>
      <c r="G45" s="13"/>
      <c r="H45" s="21">
        <f>H12-H32</f>
        <v>31636</v>
      </c>
      <c r="I45" s="13"/>
      <c r="J45" s="20">
        <f>IF(H$12=0,0,H45/H$12)</f>
        <v>0.21903733244710313</v>
      </c>
      <c r="K45" s="16"/>
      <c r="L45" s="21">
        <f>+D45-H45</f>
        <v>-32218.469999999994</v>
      </c>
      <c r="M45" s="16"/>
      <c r="N45" s="20">
        <f>IF(H45=0,0,L45/H45)</f>
        <v>-1.0184116196737891</v>
      </c>
      <c r="O45" s="26"/>
      <c r="P45" s="21">
        <f>P12-P32</f>
        <v>54264.060000000289</v>
      </c>
      <c r="Q45" s="13"/>
      <c r="R45" s="20">
        <f>IF(P$12=0,0,P45/P$12)</f>
        <v>4.5374971496431916E-2</v>
      </c>
      <c r="S45" s="13"/>
      <c r="T45" s="21">
        <f>T12-T32</f>
        <v>295481</v>
      </c>
      <c r="U45" s="13"/>
      <c r="V45" s="20">
        <f>IF(T$12=0,0,T45/T$12)</f>
        <v>0.21903755160315405</v>
      </c>
      <c r="W45" s="16"/>
      <c r="X45" s="21">
        <f>+P45-T45</f>
        <v>-241216.93999999971</v>
      </c>
      <c r="Y45" s="16"/>
      <c r="Z45" s="20">
        <f>IF(T45=0,0,X45/T45)</f>
        <v>-0.81635347111996948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9</v>
      </c>
      <c r="C47" s="10"/>
      <c r="D47" s="19">
        <f>SUM(OSRRefD22x_0)</f>
        <v>12478.91</v>
      </c>
      <c r="E47" s="19"/>
      <c r="F47" s="35">
        <f t="shared" ref="F47:F58" si="12">IF(D$12=0,0,D47/D$12)</f>
        <v>0.2087424560527803</v>
      </c>
      <c r="G47" s="19"/>
      <c r="H47" s="19">
        <f>SUM(OSRRefH22x_0)</f>
        <v>16902.909202846153</v>
      </c>
      <c r="I47" s="19"/>
      <c r="J47" s="35">
        <f t="shared" ref="J47:J58" si="13">IF(H$12=0,0,H47/H$12)</f>
        <v>0.11703022323893703</v>
      </c>
      <c r="K47" s="4"/>
      <c r="L47" s="19">
        <f t="shared" ref="L47:L58" si="14">+D47-H47</f>
        <v>-4423.9992028461529</v>
      </c>
      <c r="M47" s="4"/>
      <c r="N47" s="35">
        <f t="shared" ref="N47:N58" si="15">IF(H47=0,0,L47/H47)</f>
        <v>-0.26173004597937671</v>
      </c>
      <c r="O47" s="10"/>
      <c r="P47" s="19">
        <f>SUM(OSRRefP22x_0)</f>
        <v>66383.699999999983</v>
      </c>
      <c r="Q47" s="19"/>
      <c r="R47" s="35">
        <f t="shared" ref="R47:R58" si="16">IF(P$12=0,0,P47/P$12)</f>
        <v>5.5509272533748322E-2</v>
      </c>
      <c r="S47" s="19"/>
      <c r="T47" s="19">
        <f>SUM(OSRRefT22x_0)</f>
        <v>98202.848285653832</v>
      </c>
      <c r="U47" s="19"/>
      <c r="V47" s="35">
        <f t="shared" ref="V47:V58" si="17">IF(T$12=0,0,T47/T$12)</f>
        <v>7.2796936009237853E-2</v>
      </c>
      <c r="W47" s="4"/>
      <c r="X47" s="19">
        <f t="shared" ref="X47:X58" si="18">+P47-T47</f>
        <v>-31819.14828565385</v>
      </c>
      <c r="Y47" s="4"/>
      <c r="Z47" s="35">
        <f t="shared" ref="Z47:Z58" si="19">IF(T47=0,0,X47/T47)</f>
        <v>-0.32401451527248842</v>
      </c>
    </row>
    <row r="48" spans="1:26" s="29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2874.4300000000003</v>
      </c>
      <c r="E48" s="1"/>
      <c r="F48" s="5">
        <f t="shared" si="12"/>
        <v>4.8082370812177776E-2</v>
      </c>
      <c r="G48" s="1"/>
      <c r="H48" s="1">
        <f>SUM(OSRRefH22_0x_0)</f>
        <v>2406.2742028461539</v>
      </c>
      <c r="I48" s="1"/>
      <c r="J48" s="5">
        <f t="shared" si="13"/>
        <v>1.6660256749516409E-2</v>
      </c>
      <c r="K48" s="1"/>
      <c r="L48" s="1">
        <f t="shared" si="14"/>
        <v>468.15579715384638</v>
      </c>
      <c r="M48" s="1"/>
      <c r="N48" s="5">
        <f t="shared" si="15"/>
        <v>0.19455629645204575</v>
      </c>
      <c r="O48" s="14"/>
      <c r="P48" s="1">
        <f>SUM(OSRRefP22_0x_0)</f>
        <v>14834.34</v>
      </c>
      <c r="Q48" s="1"/>
      <c r="R48" s="5">
        <f t="shared" si="16"/>
        <v>1.2404301386007172E-2</v>
      </c>
      <c r="S48" s="1"/>
      <c r="T48" s="1">
        <f>SUM(OSRRefT22_0x_0)</f>
        <v>13279.150785653843</v>
      </c>
      <c r="U48" s="1"/>
      <c r="V48" s="5">
        <f t="shared" si="17"/>
        <v>9.8437215098727739E-3</v>
      </c>
      <c r="W48" s="1"/>
      <c r="X48" s="1">
        <f t="shared" si="18"/>
        <v>1555.1892143461573</v>
      </c>
      <c r="Y48" s="1"/>
      <c r="Z48" s="5">
        <f t="shared" si="19"/>
        <v>0.11711511070619886</v>
      </c>
    </row>
    <row r="49" spans="1:26" s="24" customFormat="1" hidden="1" outlineLevel="2" x14ac:dyDescent="0.25">
      <c r="A49" s="28"/>
      <c r="B49" s="11" t="str">
        <f>CONCATENATE("          ", "6111", " - ", "F.I.C.A.")</f>
        <v xml:space="preserve">          6111 - F.I.C.A.</v>
      </c>
      <c r="C49" s="11"/>
      <c r="D49" s="6">
        <v>448.03</v>
      </c>
      <c r="E49" s="2"/>
      <c r="F49" s="7">
        <f t="shared" si="12"/>
        <v>7.4944752855279151E-3</v>
      </c>
      <c r="G49" s="2"/>
      <c r="H49" s="6">
        <v>425.68281899999999</v>
      </c>
      <c r="I49" s="2"/>
      <c r="J49" s="7">
        <f t="shared" si="13"/>
        <v>2.9472888210368892E-3</v>
      </c>
      <c r="K49" s="2"/>
      <c r="L49" s="6">
        <f t="shared" si="14"/>
        <v>22.347180999999978</v>
      </c>
      <c r="M49" s="2"/>
      <c r="N49" s="7">
        <f t="shared" si="15"/>
        <v>5.2497258528068476E-2</v>
      </c>
      <c r="O49" s="11"/>
      <c r="P49" s="6">
        <v>2947.04</v>
      </c>
      <c r="Q49" s="2"/>
      <c r="R49" s="7">
        <f t="shared" si="16"/>
        <v>2.4642803358031818E-3</v>
      </c>
      <c r="S49" s="2"/>
      <c r="T49" s="6">
        <v>2768.5990244999998</v>
      </c>
      <c r="U49" s="2"/>
      <c r="V49" s="7">
        <f t="shared" si="17"/>
        <v>2.0523389040153534E-3</v>
      </c>
      <c r="W49" s="2"/>
      <c r="X49" s="6">
        <f t="shared" si="18"/>
        <v>178.44097550000015</v>
      </c>
      <c r="Y49" s="2"/>
      <c r="Z49" s="7">
        <f t="shared" si="19"/>
        <v>6.4451722304650461E-2</v>
      </c>
    </row>
    <row r="50" spans="1:26" s="24" customFormat="1" hidden="1" outlineLevel="2" x14ac:dyDescent="0.25">
      <c r="A50" s="28"/>
      <c r="B50" s="11" t="str">
        <f>CONCATENATE("          ", "6112", " - ", "COMPENSATION INSURANCE")</f>
        <v xml:space="preserve">          6112 - COMPENSATION INSURANCE</v>
      </c>
      <c r="C50" s="11"/>
      <c r="D50" s="6">
        <v>256.8</v>
      </c>
      <c r="E50" s="2"/>
      <c r="F50" s="7">
        <f t="shared" si="12"/>
        <v>4.2956526422863843E-3</v>
      </c>
      <c r="G50" s="2"/>
      <c r="H50" s="6">
        <v>189.64904999999999</v>
      </c>
      <c r="I50" s="2"/>
      <c r="J50" s="7">
        <f t="shared" si="13"/>
        <v>1.3130680874044532E-3</v>
      </c>
      <c r="K50" s="2"/>
      <c r="L50" s="6">
        <f t="shared" si="14"/>
        <v>67.150950000000023</v>
      </c>
      <c r="M50" s="2"/>
      <c r="N50" s="7">
        <f t="shared" si="15"/>
        <v>0.35408007580317447</v>
      </c>
      <c r="O50" s="11"/>
      <c r="P50" s="6">
        <v>725.73</v>
      </c>
      <c r="Q50" s="2"/>
      <c r="R50" s="7">
        <f t="shared" si="16"/>
        <v>6.0684692712092243E-4</v>
      </c>
      <c r="S50" s="2"/>
      <c r="T50" s="6">
        <v>996.38502499999993</v>
      </c>
      <c r="U50" s="2"/>
      <c r="V50" s="7">
        <f t="shared" si="17"/>
        <v>7.3861174265028016E-4</v>
      </c>
      <c r="W50" s="2"/>
      <c r="X50" s="6">
        <f t="shared" si="18"/>
        <v>-270.65502499999991</v>
      </c>
      <c r="Y50" s="2"/>
      <c r="Z50" s="7">
        <f t="shared" si="19"/>
        <v>-0.27163698591315133</v>
      </c>
    </row>
    <row r="51" spans="1:26" s="24" customFormat="1" hidden="1" outlineLevel="2" x14ac:dyDescent="0.25">
      <c r="A51" s="28"/>
      <c r="B51" s="11" t="str">
        <f>CONCATENATE("          ", "6113", " - ", "GROUP INSURANCE")</f>
        <v xml:space="preserve">          6113 - GROUP INSURANCE</v>
      </c>
      <c r="C51" s="11"/>
      <c r="D51" s="6">
        <v>1035.69</v>
      </c>
      <c r="E51" s="2"/>
      <c r="F51" s="7">
        <f t="shared" si="12"/>
        <v>1.7324628057202435E-2</v>
      </c>
      <c r="G51" s="2"/>
      <c r="H51" s="6">
        <v>946.34615384615404</v>
      </c>
      <c r="I51" s="2"/>
      <c r="J51" s="7">
        <f t="shared" si="13"/>
        <v>6.5521917154519362E-3</v>
      </c>
      <c r="K51" s="2"/>
      <c r="L51" s="6">
        <f t="shared" si="14"/>
        <v>89.343846153846016</v>
      </c>
      <c r="M51" s="2"/>
      <c r="N51" s="7">
        <f t="shared" si="15"/>
        <v>9.4409266409266238E-2</v>
      </c>
      <c r="O51" s="11"/>
      <c r="P51" s="6">
        <v>5178.45</v>
      </c>
      <c r="Q51" s="2"/>
      <c r="R51" s="7">
        <f t="shared" si="16"/>
        <v>4.3301592462063583E-3</v>
      </c>
      <c r="S51" s="2"/>
      <c r="T51" s="6">
        <v>5038.6538461538421</v>
      </c>
      <c r="U51" s="2"/>
      <c r="V51" s="7">
        <f t="shared" si="17"/>
        <v>3.7351112316438375E-3</v>
      </c>
      <c r="W51" s="2"/>
      <c r="X51" s="6">
        <f t="shared" si="18"/>
        <v>139.79615384615772</v>
      </c>
      <c r="Y51" s="2"/>
      <c r="Z51" s="7">
        <f t="shared" si="19"/>
        <v>2.7744742567078384E-2</v>
      </c>
    </row>
    <row r="52" spans="1:26" s="24" customFormat="1" hidden="1" outlineLevel="2" x14ac:dyDescent="0.25">
      <c r="A52" s="28"/>
      <c r="B52" s="11" t="str">
        <f>CONCATENATE("          ", "6114", " - ", "STATE UNEMPLOYMENT INSURANCE")</f>
        <v xml:space="preserve">          6114 - STATE UNEMPLOYMENT INSURANCE</v>
      </c>
      <c r="C52" s="11"/>
      <c r="D52" s="6">
        <v>36.090000000000003</v>
      </c>
      <c r="E52" s="2"/>
      <c r="F52" s="7">
        <f t="shared" si="12"/>
        <v>6.0369978138674304E-4</v>
      </c>
      <c r="G52" s="2"/>
      <c r="H52" s="6">
        <v>26.653379999999999</v>
      </c>
      <c r="I52" s="2"/>
      <c r="J52" s="7">
        <f t="shared" si="13"/>
        <v>1.845392987703556E-4</v>
      </c>
      <c r="K52" s="2"/>
      <c r="L52" s="6">
        <f t="shared" si="14"/>
        <v>9.4366200000000049</v>
      </c>
      <c r="M52" s="2"/>
      <c r="N52" s="7">
        <f t="shared" si="15"/>
        <v>0.3540496552407239</v>
      </c>
      <c r="O52" s="11"/>
      <c r="P52" s="6">
        <v>116.69</v>
      </c>
      <c r="Q52" s="2"/>
      <c r="R52" s="7">
        <f t="shared" si="16"/>
        <v>9.7574811466716871E-5</v>
      </c>
      <c r="S52" s="2"/>
      <c r="T52" s="6">
        <v>140.03249</v>
      </c>
      <c r="U52" s="2"/>
      <c r="V52" s="7">
        <f t="shared" si="17"/>
        <v>1.03804893561661E-4</v>
      </c>
      <c r="W52" s="2"/>
      <c r="X52" s="6">
        <f t="shared" si="18"/>
        <v>-23.342489999999998</v>
      </c>
      <c r="Y52" s="2"/>
      <c r="Z52" s="7">
        <f t="shared" si="19"/>
        <v>-0.16669338665619671</v>
      </c>
    </row>
    <row r="53" spans="1:26" s="24" customFormat="1" hidden="1" outlineLevel="2" x14ac:dyDescent="0.25">
      <c r="A53" s="28"/>
      <c r="B53" s="11" t="str">
        <f>CONCATENATE("          ", "6115", " - ", "P.E.R.S.")</f>
        <v xml:space="preserve">          6115 - P.E.R.S.</v>
      </c>
      <c r="C53" s="11"/>
      <c r="D53" s="6">
        <v>176.42</v>
      </c>
      <c r="E53" s="2"/>
      <c r="F53" s="7">
        <f t="shared" si="12"/>
        <v>2.9510866010598281E-3</v>
      </c>
      <c r="G53" s="2"/>
      <c r="H53" s="6">
        <v>196.27780000000001</v>
      </c>
      <c r="I53" s="2"/>
      <c r="J53" s="7">
        <f t="shared" si="13"/>
        <v>1.3589633876149331E-3</v>
      </c>
      <c r="K53" s="2"/>
      <c r="L53" s="6">
        <f t="shared" si="14"/>
        <v>-19.857800000000026</v>
      </c>
      <c r="M53" s="2"/>
      <c r="N53" s="7">
        <f t="shared" si="15"/>
        <v>-0.10117191042491827</v>
      </c>
      <c r="O53" s="11"/>
      <c r="P53" s="6">
        <v>970.31</v>
      </c>
      <c r="Q53" s="2"/>
      <c r="R53" s="7">
        <f t="shared" si="16"/>
        <v>8.1136185889339317E-4</v>
      </c>
      <c r="S53" s="2"/>
      <c r="T53" s="6">
        <v>1079.5279</v>
      </c>
      <c r="U53" s="2"/>
      <c r="V53" s="7">
        <f t="shared" si="17"/>
        <v>8.0024484858009321E-4</v>
      </c>
      <c r="W53" s="2"/>
      <c r="X53" s="6">
        <f t="shared" si="18"/>
        <v>-109.2179000000001</v>
      </c>
      <c r="Y53" s="2"/>
      <c r="Z53" s="7">
        <f t="shared" si="19"/>
        <v>-0.10117191042491824</v>
      </c>
    </row>
    <row r="54" spans="1:26" s="24" customFormat="1" hidden="1" outlineLevel="2" x14ac:dyDescent="0.25">
      <c r="A54" s="28"/>
      <c r="B54" s="11" t="str">
        <f>CONCATENATE("          ", "6116", " - ", "EDUCATIONAL BENEFITS")</f>
        <v xml:space="preserve">          6116 - EDUCATIONAL BENEFITS</v>
      </c>
      <c r="C54" s="11"/>
      <c r="D54" s="6"/>
      <c r="E54" s="2"/>
      <c r="F54" s="7">
        <f t="shared" si="12"/>
        <v>0</v>
      </c>
      <c r="G54" s="2"/>
      <c r="H54" s="6">
        <v>0</v>
      </c>
      <c r="I54" s="2"/>
      <c r="J54" s="7">
        <f t="shared" si="13"/>
        <v>0</v>
      </c>
      <c r="K54" s="2"/>
      <c r="L54" s="6">
        <f t="shared" si="14"/>
        <v>0</v>
      </c>
      <c r="M54" s="2"/>
      <c r="N54" s="7">
        <f t="shared" si="15"/>
        <v>0</v>
      </c>
      <c r="O54" s="11"/>
      <c r="P54" s="6"/>
      <c r="Q54" s="2"/>
      <c r="R54" s="7">
        <f t="shared" si="16"/>
        <v>0</v>
      </c>
      <c r="S54" s="2"/>
      <c r="T54" s="6">
        <v>0</v>
      </c>
      <c r="U54" s="2"/>
      <c r="V54" s="7">
        <f t="shared" si="17"/>
        <v>0</v>
      </c>
      <c r="W54" s="2"/>
      <c r="X54" s="6">
        <f t="shared" si="18"/>
        <v>0</v>
      </c>
      <c r="Y54" s="2"/>
      <c r="Z54" s="7">
        <f t="shared" si="19"/>
        <v>0</v>
      </c>
    </row>
    <row r="55" spans="1:26" s="24" customFormat="1" hidden="1" outlineLevel="2" x14ac:dyDescent="0.25">
      <c r="A55" s="28"/>
      <c r="B55" s="11" t="str">
        <f>CONCATENATE("          ", "6117", " - ", "RETIREMENT STAFF HOURLY")</f>
        <v xml:space="preserve">          6117 - RETIREMENT STAFF HOURLY</v>
      </c>
      <c r="C55" s="11"/>
      <c r="D55" s="6">
        <v>154.52000000000001</v>
      </c>
      <c r="E55" s="2"/>
      <c r="F55" s="7">
        <f t="shared" si="12"/>
        <v>2.5847517378741907E-3</v>
      </c>
      <c r="G55" s="2"/>
      <c r="H55" s="6"/>
      <c r="I55" s="2"/>
      <c r="J55" s="7">
        <f t="shared" si="13"/>
        <v>0</v>
      </c>
      <c r="K55" s="2"/>
      <c r="L55" s="6">
        <f t="shared" si="14"/>
        <v>154.52000000000001</v>
      </c>
      <c r="M55" s="2"/>
      <c r="N55" s="7">
        <f t="shared" si="15"/>
        <v>0</v>
      </c>
      <c r="O55" s="11"/>
      <c r="P55" s="6">
        <v>934.08</v>
      </c>
      <c r="Q55" s="2"/>
      <c r="R55" s="7">
        <f t="shared" si="16"/>
        <v>7.8106675717568692E-4</v>
      </c>
      <c r="S55" s="2"/>
      <c r="T55" s="6"/>
      <c r="U55" s="2"/>
      <c r="V55" s="7">
        <f t="shared" si="17"/>
        <v>0</v>
      </c>
      <c r="W55" s="2"/>
      <c r="X55" s="6">
        <f t="shared" si="18"/>
        <v>934.08</v>
      </c>
      <c r="Y55" s="2"/>
      <c r="Z55" s="7">
        <f t="shared" si="19"/>
        <v>0</v>
      </c>
    </row>
    <row r="56" spans="1:26" s="24" customFormat="1" hidden="1" outlineLevel="2" x14ac:dyDescent="0.25">
      <c r="A56" s="28"/>
      <c r="B56" s="11" t="str">
        <f>CONCATENATE("          ", "6118", " - ", "VACATION")</f>
        <v xml:space="preserve">          6118 - VACATION</v>
      </c>
      <c r="C56" s="11"/>
      <c r="D56" s="6">
        <v>262.39999999999998</v>
      </c>
      <c r="E56" s="2"/>
      <c r="F56" s="7">
        <f t="shared" si="12"/>
        <v>4.3893273104982367E-3</v>
      </c>
      <c r="G56" s="2"/>
      <c r="H56" s="6">
        <v>194.749</v>
      </c>
      <c r="I56" s="2"/>
      <c r="J56" s="7">
        <f t="shared" si="13"/>
        <v>1.3483784756840589E-3</v>
      </c>
      <c r="K56" s="2"/>
      <c r="L56" s="6">
        <f t="shared" si="14"/>
        <v>67.650999999999982</v>
      </c>
      <c r="M56" s="2"/>
      <c r="N56" s="7">
        <f t="shared" si="15"/>
        <v>0.34737533953961242</v>
      </c>
      <c r="O56" s="11"/>
      <c r="P56" s="6">
        <v>1422.5</v>
      </c>
      <c r="Q56" s="2"/>
      <c r="R56" s="7">
        <f t="shared" si="16"/>
        <v>1.1894778413866205E-3</v>
      </c>
      <c r="S56" s="2"/>
      <c r="T56" s="6">
        <v>1071.1195</v>
      </c>
      <c r="U56" s="2"/>
      <c r="V56" s="7">
        <f t="shared" si="17"/>
        <v>7.9401177319148974E-4</v>
      </c>
      <c r="W56" s="2"/>
      <c r="X56" s="6">
        <f t="shared" si="18"/>
        <v>351.38049999999998</v>
      </c>
      <c r="Y56" s="2"/>
      <c r="Z56" s="7">
        <f t="shared" si="19"/>
        <v>0.32804976475547309</v>
      </c>
    </row>
    <row r="57" spans="1:26" s="24" customFormat="1" hidden="1" outlineLevel="2" x14ac:dyDescent="0.25">
      <c r="A57" s="28"/>
      <c r="B57" s="11" t="str">
        <f>CONCATENATE("          ", "6119", " - ", "SICK LEAVE")</f>
        <v xml:space="preserve">          6119 - SICK LEAVE</v>
      </c>
      <c r="C57" s="11"/>
      <c r="D57" s="6">
        <v>262.10000000000002</v>
      </c>
      <c r="E57" s="2"/>
      <c r="F57" s="7">
        <f t="shared" si="12"/>
        <v>4.3843090247011737E-3</v>
      </c>
      <c r="G57" s="2"/>
      <c r="H57" s="6">
        <v>251.916</v>
      </c>
      <c r="I57" s="2"/>
      <c r="J57" s="7">
        <f t="shared" si="13"/>
        <v>1.7441841143236957E-3</v>
      </c>
      <c r="K57" s="2"/>
      <c r="L57" s="6">
        <f t="shared" si="14"/>
        <v>10.184000000000026</v>
      </c>
      <c r="M57" s="2"/>
      <c r="N57" s="7">
        <f t="shared" si="15"/>
        <v>4.0426173803966507E-2</v>
      </c>
      <c r="O57" s="11"/>
      <c r="P57" s="6">
        <v>1416.66</v>
      </c>
      <c r="Q57" s="2"/>
      <c r="R57" s="7">
        <f t="shared" si="16"/>
        <v>1.1845945017776942E-3</v>
      </c>
      <c r="S57" s="2"/>
      <c r="T57" s="6">
        <v>1309.8330000000001</v>
      </c>
      <c r="U57" s="2"/>
      <c r="V57" s="7">
        <f t="shared" si="17"/>
        <v>9.70968059973447E-4</v>
      </c>
      <c r="W57" s="2"/>
      <c r="X57" s="6">
        <f t="shared" si="18"/>
        <v>106.827</v>
      </c>
      <c r="Y57" s="2"/>
      <c r="Z57" s="7">
        <f t="shared" si="19"/>
        <v>8.1557725297805139E-2</v>
      </c>
    </row>
    <row r="58" spans="1:26" s="24" customFormat="1" hidden="1" outlineLevel="2" x14ac:dyDescent="0.25">
      <c r="A58" s="28"/>
      <c r="B58" s="11" t="str">
        <f>CONCATENATE("          ", "6156", " - ", "EMPLOYEE MEALS")</f>
        <v xml:space="preserve">          6156 - EMPLOYEE MEALS</v>
      </c>
      <c r="C58" s="11"/>
      <c r="D58" s="6">
        <v>242.38</v>
      </c>
      <c r="E58" s="2"/>
      <c r="F58" s="7">
        <f t="shared" si="12"/>
        <v>4.0544403716408633E-3</v>
      </c>
      <c r="G58" s="2"/>
      <c r="H58" s="6">
        <v>175</v>
      </c>
      <c r="I58" s="2"/>
      <c r="J58" s="7">
        <f t="shared" si="13"/>
        <v>1.2116428492300875E-3</v>
      </c>
      <c r="K58" s="2"/>
      <c r="L58" s="6">
        <f t="shared" si="14"/>
        <v>67.38</v>
      </c>
      <c r="M58" s="2"/>
      <c r="N58" s="7">
        <f t="shared" si="15"/>
        <v>0.38502857142857139</v>
      </c>
      <c r="O58" s="11"/>
      <c r="P58" s="6">
        <v>1122.8800000000001</v>
      </c>
      <c r="Q58" s="2"/>
      <c r="R58" s="7">
        <f t="shared" si="16"/>
        <v>9.3893910617659656E-4</v>
      </c>
      <c r="S58" s="2"/>
      <c r="T58" s="6">
        <v>875</v>
      </c>
      <c r="U58" s="2"/>
      <c r="V58" s="7">
        <f t="shared" si="17"/>
        <v>6.4863005625661143E-4</v>
      </c>
      <c r="W58" s="2"/>
      <c r="X58" s="6">
        <f t="shared" si="18"/>
        <v>247.88000000000011</v>
      </c>
      <c r="Y58" s="2"/>
      <c r="Z58" s="7">
        <f t="shared" si="19"/>
        <v>0.28329142857142869</v>
      </c>
    </row>
    <row r="59" spans="1:26" s="29" customFormat="1" outlineLevel="1" collapsed="1" x14ac:dyDescent="0.25">
      <c r="A59" s="27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7316.2099999999991</v>
      </c>
      <c r="E59" s="1"/>
      <c r="F59" s="5">
        <f t="shared" ref="F59:F69" si="20">IF(D$12=0,0,D59/D$12)</f>
        <v>0.12238277577111396</v>
      </c>
      <c r="G59" s="1"/>
      <c r="H59" s="1">
        <f>SUM(OSRRefH22_1x_0)</f>
        <v>9804.6350000000002</v>
      </c>
      <c r="I59" s="1"/>
      <c r="J59" s="5">
        <f t="shared" ref="J59:J69" si="21">IF(H$12=0,0,H59/H$12)</f>
        <v>6.7884090783205939E-2</v>
      </c>
      <c r="K59" s="1"/>
      <c r="L59" s="1">
        <f t="shared" ref="L59:L69" si="22">+D59-H59</f>
        <v>-2488.4250000000011</v>
      </c>
      <c r="M59" s="1"/>
      <c r="N59" s="5">
        <f t="shared" ref="N59:N69" si="23">IF(H59=0,0,L59/H59)</f>
        <v>-0.25380088090989628</v>
      </c>
      <c r="O59" s="14"/>
      <c r="P59" s="1">
        <f>SUM(OSRRefP22_1x_0)</f>
        <v>39479.78</v>
      </c>
      <c r="Q59" s="1"/>
      <c r="R59" s="5">
        <f t="shared" ref="R59:R69" si="24">IF(P$12=0,0,P59/P$12)</f>
        <v>3.3012529696181847E-2</v>
      </c>
      <c r="S59" s="1"/>
      <c r="T59" s="1">
        <f>SUM(OSRRefT22_1x_0)</f>
        <v>51477.697500000002</v>
      </c>
      <c r="U59" s="1"/>
      <c r="V59" s="5">
        <f t="shared" ref="V59:V69" si="25">IF(T$12=0,0,T59/T$12)</f>
        <v>3.8159979229012368E-2</v>
      </c>
      <c r="W59" s="1"/>
      <c r="X59" s="1">
        <f t="shared" ref="X59:X69" si="26">+P59-T59</f>
        <v>-11997.917500000003</v>
      </c>
      <c r="Y59" s="1"/>
      <c r="Z59" s="5">
        <f t="shared" ref="Z59:Z69" si="27">IF(T59=0,0,X59/T59)</f>
        <v>-0.23307020482025256</v>
      </c>
    </row>
    <row r="60" spans="1:26" s="24" customFormat="1" hidden="1" outlineLevel="2" x14ac:dyDescent="0.25">
      <c r="A60" s="28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8"/>
      <c r="B61" s="11" t="str">
        <f>CONCATENATE("          ", "6002", " - ", "STAFF SALARIES")</f>
        <v xml:space="preserve">          6002 - STAFF SALARIES</v>
      </c>
      <c r="C61" s="11"/>
      <c r="D61" s="6">
        <v>1939.96</v>
      </c>
      <c r="E61" s="2"/>
      <c r="F61" s="7">
        <f t="shared" si="20"/>
        <v>3.2450912382904575E-2</v>
      </c>
      <c r="G61" s="2"/>
      <c r="H61" s="6">
        <v>2168.1849999999999</v>
      </c>
      <c r="I61" s="2"/>
      <c r="J61" s="7">
        <f t="shared" si="21"/>
        <v>1.5011804863188212E-2</v>
      </c>
      <c r="K61" s="2"/>
      <c r="L61" s="6">
        <f t="shared" si="22"/>
        <v>-228.22499999999991</v>
      </c>
      <c r="M61" s="2"/>
      <c r="N61" s="7">
        <f t="shared" si="23"/>
        <v>-0.10526085181845642</v>
      </c>
      <c r="O61" s="11"/>
      <c r="P61" s="6">
        <v>11297.39</v>
      </c>
      <c r="Q61" s="2"/>
      <c r="R61" s="7">
        <f t="shared" si="24"/>
        <v>9.4467452165221746E-3</v>
      </c>
      <c r="S61" s="2"/>
      <c r="T61" s="6">
        <v>11925.0175</v>
      </c>
      <c r="U61" s="2"/>
      <c r="V61" s="7">
        <f t="shared" si="25"/>
        <v>8.8399140250126577E-3</v>
      </c>
      <c r="W61" s="2"/>
      <c r="X61" s="6">
        <f t="shared" si="26"/>
        <v>-627.62750000000051</v>
      </c>
      <c r="Y61" s="2"/>
      <c r="Z61" s="7">
        <f t="shared" si="27"/>
        <v>-5.2631159660772031E-2</v>
      </c>
    </row>
    <row r="62" spans="1:26" s="24" customFormat="1" hidden="1" outlineLevel="2" x14ac:dyDescent="0.25">
      <c r="A62" s="28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6">
        <v>3395.52</v>
      </c>
      <c r="E63" s="2"/>
      <c r="F63" s="7">
        <f t="shared" si="20"/>
        <v>5.6798965965483894E-2</v>
      </c>
      <c r="G63" s="2"/>
      <c r="H63" s="6">
        <v>3088.12</v>
      </c>
      <c r="I63" s="2"/>
      <c r="J63" s="7">
        <f t="shared" si="21"/>
        <v>2.1381134374653814E-2</v>
      </c>
      <c r="K63" s="2"/>
      <c r="L63" s="6">
        <f t="shared" si="22"/>
        <v>307.40000000000009</v>
      </c>
      <c r="M63" s="2"/>
      <c r="N63" s="7">
        <f t="shared" si="23"/>
        <v>9.9542763882232585E-2</v>
      </c>
      <c r="O63" s="11"/>
      <c r="P63" s="6">
        <v>17816.16</v>
      </c>
      <c r="Q63" s="2"/>
      <c r="R63" s="7">
        <f t="shared" si="24"/>
        <v>1.4897664350508719E-2</v>
      </c>
      <c r="S63" s="2"/>
      <c r="T63" s="6">
        <v>16984.66</v>
      </c>
      <c r="U63" s="2"/>
      <c r="V63" s="7">
        <f t="shared" si="25"/>
        <v>1.2590583967199333E-2</v>
      </c>
      <c r="W63" s="2"/>
      <c r="X63" s="6">
        <f t="shared" si="26"/>
        <v>831.5</v>
      </c>
      <c r="Y63" s="2"/>
      <c r="Z63" s="7">
        <f t="shared" si="27"/>
        <v>4.8955940242548276E-2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8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8"/>
      <c r="B66" s="11" t="str">
        <f>CONCATENATE("          ", "6007", " - ", "STUDENT HOURLY")</f>
        <v xml:space="preserve">          6007 - STUDENT HOURLY</v>
      </c>
      <c r="C66" s="11"/>
      <c r="D66" s="6">
        <v>1980.73</v>
      </c>
      <c r="E66" s="2"/>
      <c r="F66" s="7">
        <f t="shared" si="20"/>
        <v>3.3132897422725509E-2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1980.73</v>
      </c>
      <c r="M66" s="2"/>
      <c r="N66" s="7">
        <f t="shared" si="23"/>
        <v>0</v>
      </c>
      <c r="O66" s="11"/>
      <c r="P66" s="6">
        <v>10366.23</v>
      </c>
      <c r="Q66" s="2"/>
      <c r="R66" s="7">
        <f t="shared" si="24"/>
        <v>8.66812012915095E-3</v>
      </c>
      <c r="S66" s="2"/>
      <c r="T66" s="6">
        <v>5416.48</v>
      </c>
      <c r="U66" s="2"/>
      <c r="V66" s="7">
        <f t="shared" si="25"/>
        <v>4.0151905452717827E-3</v>
      </c>
      <c r="W66" s="2"/>
      <c r="X66" s="6">
        <f t="shared" si="26"/>
        <v>4949.75</v>
      </c>
      <c r="Y66" s="2"/>
      <c r="Z66" s="7">
        <f t="shared" si="27"/>
        <v>0.91383149203911029</v>
      </c>
    </row>
    <row r="67" spans="1:26" s="24" customFormat="1" hidden="1" outlineLevel="2" x14ac:dyDescent="0.25">
      <c r="A67" s="28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0"/>
        <v>0</v>
      </c>
      <c r="G67" s="2"/>
      <c r="H67" s="6">
        <v>4548.33</v>
      </c>
      <c r="I67" s="2"/>
      <c r="J67" s="7">
        <f t="shared" si="21"/>
        <v>3.1491151545363909E-2</v>
      </c>
      <c r="K67" s="2"/>
      <c r="L67" s="6">
        <f t="shared" si="22"/>
        <v>-4548.33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17151.54</v>
      </c>
      <c r="U67" s="2"/>
      <c r="V67" s="7">
        <f t="shared" si="25"/>
        <v>1.2714290691528596E-2</v>
      </c>
      <c r="W67" s="2"/>
      <c r="X67" s="6">
        <f t="shared" si="26"/>
        <v>-17151.54</v>
      </c>
      <c r="Y67" s="2"/>
      <c r="Z67" s="7">
        <f t="shared" si="27"/>
        <v>-1</v>
      </c>
    </row>
    <row r="68" spans="1:26" s="24" customFormat="1" hidden="1" outlineLevel="2" x14ac:dyDescent="0.25">
      <c r="A68" s="28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8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9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1.3847346848343857E-3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2.0811054141602962E-4</v>
      </c>
      <c r="S70" s="1"/>
      <c r="T70" s="1">
        <f>SUM(OSRRefT22_2x_0)</f>
        <v>1000</v>
      </c>
      <c r="U70" s="1"/>
      <c r="V70" s="5">
        <f t="shared" ref="V70:V80" si="33">IF(T$12=0,0,T70/T$12)</f>
        <v>7.4129149286469875E-4</v>
      </c>
      <c r="W70" s="1"/>
      <c r="X70" s="1">
        <f t="shared" ref="X70:X80" si="34">+P70-T70</f>
        <v>-751.12</v>
      </c>
      <c r="Y70" s="1"/>
      <c r="Z70" s="5">
        <f t="shared" ref="Z70:Z80" si="35">IF(T70=0,0,X70/T70)</f>
        <v>-0.75112000000000001</v>
      </c>
    </row>
    <row r="71" spans="1:26" s="24" customFormat="1" hidden="1" outlineLevel="2" x14ac:dyDescent="0.25">
      <c r="A71" s="28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28"/>
        <v>0</v>
      </c>
      <c r="G71" s="2"/>
      <c r="H71" s="6">
        <v>200</v>
      </c>
      <c r="I71" s="2"/>
      <c r="J71" s="7">
        <f t="shared" si="29"/>
        <v>1.3847346848343857E-3</v>
      </c>
      <c r="K71" s="2"/>
      <c r="L71" s="6">
        <f t="shared" si="30"/>
        <v>-200</v>
      </c>
      <c r="M71" s="2"/>
      <c r="N71" s="7">
        <f t="shared" si="31"/>
        <v>-1</v>
      </c>
      <c r="O71" s="11"/>
      <c r="P71" s="6">
        <v>248.88</v>
      </c>
      <c r="Q71" s="2"/>
      <c r="R71" s="7">
        <f t="shared" si="32"/>
        <v>2.0811054141602962E-4</v>
      </c>
      <c r="S71" s="2"/>
      <c r="T71" s="6">
        <v>1000</v>
      </c>
      <c r="U71" s="2"/>
      <c r="V71" s="7">
        <f t="shared" si="33"/>
        <v>7.4129149286469875E-4</v>
      </c>
      <c r="W71" s="2"/>
      <c r="X71" s="6">
        <f t="shared" si="34"/>
        <v>-751.12</v>
      </c>
      <c r="Y71" s="2"/>
      <c r="Z71" s="7">
        <f t="shared" si="35"/>
        <v>-0.75112000000000001</v>
      </c>
    </row>
    <row r="72" spans="1:26" s="29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4.6910935630949911E-3</v>
      </c>
      <c r="G72" s="1"/>
      <c r="H72" s="1">
        <f>SUM(OSRRefH22_3x_0)</f>
        <v>300</v>
      </c>
      <c r="I72" s="1"/>
      <c r="J72" s="5">
        <f t="shared" si="29"/>
        <v>2.0771020272515785E-3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1402.2</v>
      </c>
      <c r="Q72" s="1"/>
      <c r="R72" s="5">
        <f t="shared" si="32"/>
        <v>1.1725032191158659E-3</v>
      </c>
      <c r="S72" s="1"/>
      <c r="T72" s="1">
        <f>SUM(OSRRefT22_3x_0)</f>
        <v>1500</v>
      </c>
      <c r="U72" s="1"/>
      <c r="V72" s="5">
        <f t="shared" si="33"/>
        <v>1.111937239297048E-3</v>
      </c>
      <c r="W72" s="1"/>
      <c r="X72" s="1">
        <f t="shared" si="34"/>
        <v>-97.799999999999955</v>
      </c>
      <c r="Y72" s="1"/>
      <c r="Z72" s="5">
        <f t="shared" si="35"/>
        <v>-6.5199999999999966E-2</v>
      </c>
    </row>
    <row r="73" spans="1:26" s="24" customFormat="1" hidden="1" outlineLevel="2" x14ac:dyDescent="0.25">
      <c r="A73" s="28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28"/>
        <v>4.6910935630949911E-3</v>
      </c>
      <c r="G73" s="2"/>
      <c r="H73" s="6">
        <v>300</v>
      </c>
      <c r="I73" s="2"/>
      <c r="J73" s="7">
        <f t="shared" si="29"/>
        <v>2.0771020272515785E-3</v>
      </c>
      <c r="K73" s="2"/>
      <c r="L73" s="6">
        <f t="shared" si="30"/>
        <v>-19.560000000000002</v>
      </c>
      <c r="M73" s="2"/>
      <c r="N73" s="7">
        <f t="shared" si="31"/>
        <v>-6.5200000000000008E-2</v>
      </c>
      <c r="O73" s="11"/>
      <c r="P73" s="6">
        <v>1402.2</v>
      </c>
      <c r="Q73" s="2"/>
      <c r="R73" s="7">
        <f t="shared" si="32"/>
        <v>1.1725032191158659E-3</v>
      </c>
      <c r="S73" s="2"/>
      <c r="T73" s="6">
        <v>1500</v>
      </c>
      <c r="U73" s="2"/>
      <c r="V73" s="7">
        <f t="shared" si="33"/>
        <v>1.111937239297048E-3</v>
      </c>
      <c r="W73" s="2"/>
      <c r="X73" s="6">
        <f t="shared" si="34"/>
        <v>-97.799999999999955</v>
      </c>
      <c r="Y73" s="2"/>
      <c r="Z73" s="7">
        <f t="shared" si="35"/>
        <v>-6.5199999999999966E-2</v>
      </c>
    </row>
    <row r="74" spans="1:26" s="29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2297</v>
      </c>
      <c r="I74" s="1"/>
      <c r="J74" s="5">
        <f t="shared" si="29"/>
        <v>1.5903677855322922E-2</v>
      </c>
      <c r="K74" s="1"/>
      <c r="L74" s="1">
        <f t="shared" si="30"/>
        <v>-2297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21456</v>
      </c>
      <c r="U74" s="1"/>
      <c r="V74" s="5">
        <f t="shared" si="33"/>
        <v>1.5905150270904975E-2</v>
      </c>
      <c r="W74" s="1"/>
      <c r="X74" s="1">
        <f t="shared" si="34"/>
        <v>-21456</v>
      </c>
      <c r="Y74" s="1"/>
      <c r="Z74" s="5">
        <f t="shared" si="35"/>
        <v>-1</v>
      </c>
    </row>
    <row r="75" spans="1:26" s="24" customFormat="1" hidden="1" outlineLevel="2" x14ac:dyDescent="0.25">
      <c r="A75" s="28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28"/>
        <v>0</v>
      </c>
      <c r="G75" s="2"/>
      <c r="H75" s="6">
        <v>2297</v>
      </c>
      <c r="I75" s="2"/>
      <c r="J75" s="7">
        <f t="shared" si="29"/>
        <v>1.5903677855322922E-2</v>
      </c>
      <c r="K75" s="2"/>
      <c r="L75" s="6">
        <f t="shared" si="30"/>
        <v>-2297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21456</v>
      </c>
      <c r="U75" s="2"/>
      <c r="V75" s="7">
        <f t="shared" si="33"/>
        <v>1.5905150270904975E-2</v>
      </c>
      <c r="W75" s="2"/>
      <c r="X75" s="6">
        <f t="shared" si="34"/>
        <v>-21456</v>
      </c>
      <c r="Y75" s="2"/>
      <c r="Z75" s="7">
        <f t="shared" si="35"/>
        <v>-1</v>
      </c>
    </row>
    <row r="76" spans="1:26" s="29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1.3847346848343858E-4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100</v>
      </c>
      <c r="U76" s="1"/>
      <c r="V76" s="5">
        <f t="shared" si="33"/>
        <v>7.4129149286469872E-5</v>
      </c>
      <c r="W76" s="1"/>
      <c r="X76" s="1">
        <f t="shared" si="34"/>
        <v>-100</v>
      </c>
      <c r="Y76" s="1"/>
      <c r="Z76" s="5">
        <f t="shared" si="35"/>
        <v>-1</v>
      </c>
    </row>
    <row r="77" spans="1:26" s="24" customFormat="1" hidden="1" outlineLevel="2" x14ac:dyDescent="0.25">
      <c r="A77" s="28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28"/>
        <v>0</v>
      </c>
      <c r="G77" s="2"/>
      <c r="H77" s="6">
        <v>20</v>
      </c>
      <c r="I77" s="2"/>
      <c r="J77" s="7">
        <f t="shared" si="29"/>
        <v>1.3847346848343858E-4</v>
      </c>
      <c r="K77" s="2"/>
      <c r="L77" s="6">
        <f t="shared" si="30"/>
        <v>-20</v>
      </c>
      <c r="M77" s="2"/>
      <c r="N77" s="7">
        <f t="shared" si="31"/>
        <v>-1</v>
      </c>
      <c r="O77" s="11"/>
      <c r="P77" s="6"/>
      <c r="Q77" s="2"/>
      <c r="R77" s="7">
        <f t="shared" si="32"/>
        <v>0</v>
      </c>
      <c r="S77" s="2"/>
      <c r="T77" s="6">
        <v>100</v>
      </c>
      <c r="U77" s="2"/>
      <c r="V77" s="7">
        <f t="shared" si="33"/>
        <v>7.4129149286469872E-5</v>
      </c>
      <c r="W77" s="2"/>
      <c r="X77" s="6">
        <f t="shared" si="34"/>
        <v>-100</v>
      </c>
      <c r="Y77" s="2"/>
      <c r="Z77" s="7">
        <f t="shared" si="35"/>
        <v>-1</v>
      </c>
    </row>
    <row r="78" spans="1:26" s="29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277.12</v>
      </c>
      <c r="E78" s="1"/>
      <c r="F78" s="5">
        <f t="shared" si="28"/>
        <v>4.6355578669408214E-3</v>
      </c>
      <c r="G78" s="1"/>
      <c r="H78" s="1">
        <f>SUM(OSRRefH22_6x_0)</f>
        <v>15</v>
      </c>
      <c r="I78" s="1"/>
      <c r="J78" s="5">
        <f t="shared" si="29"/>
        <v>1.0385510136257894E-4</v>
      </c>
      <c r="K78" s="1"/>
      <c r="L78" s="1">
        <f t="shared" si="30"/>
        <v>262.12</v>
      </c>
      <c r="M78" s="1"/>
      <c r="N78" s="5">
        <f t="shared" si="31"/>
        <v>17.474666666666668</v>
      </c>
      <c r="O78" s="14"/>
      <c r="P78" s="1">
        <f>SUM(OSRRefP22_6x_0)</f>
        <v>827.59</v>
      </c>
      <c r="Q78" s="1"/>
      <c r="R78" s="5">
        <f t="shared" si="32"/>
        <v>6.9202106625880727E-4</v>
      </c>
      <c r="S78" s="1"/>
      <c r="T78" s="1">
        <f>SUM(OSRRefT22_6x_0)</f>
        <v>75</v>
      </c>
      <c r="U78" s="1"/>
      <c r="V78" s="5">
        <f t="shared" si="33"/>
        <v>5.5596861964852407E-5</v>
      </c>
      <c r="W78" s="1"/>
      <c r="X78" s="1">
        <f t="shared" si="34"/>
        <v>752.59</v>
      </c>
      <c r="Y78" s="1"/>
      <c r="Z78" s="5">
        <f t="shared" si="35"/>
        <v>10.034533333333334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6">
        <v>277.12</v>
      </c>
      <c r="E79" s="2"/>
      <c r="F79" s="7">
        <f t="shared" si="28"/>
        <v>4.6355578669408214E-3</v>
      </c>
      <c r="G79" s="2"/>
      <c r="H79" s="6">
        <v>15</v>
      </c>
      <c r="I79" s="2"/>
      <c r="J79" s="7">
        <f t="shared" si="29"/>
        <v>1.0385510136257894E-4</v>
      </c>
      <c r="K79" s="2"/>
      <c r="L79" s="6">
        <f t="shared" si="30"/>
        <v>262.12</v>
      </c>
      <c r="M79" s="2"/>
      <c r="N79" s="7">
        <f t="shared" si="31"/>
        <v>17.474666666666668</v>
      </c>
      <c r="O79" s="11"/>
      <c r="P79" s="6">
        <v>814.99</v>
      </c>
      <c r="Q79" s="2"/>
      <c r="R79" s="7">
        <f t="shared" si="32"/>
        <v>6.8148509381489066E-4</v>
      </c>
      <c r="S79" s="2"/>
      <c r="T79" s="6">
        <v>75</v>
      </c>
      <c r="U79" s="2"/>
      <c r="V79" s="7">
        <f t="shared" si="33"/>
        <v>5.5596861964852407E-5</v>
      </c>
      <c r="W79" s="2"/>
      <c r="X79" s="6">
        <f t="shared" si="34"/>
        <v>739.99</v>
      </c>
      <c r="Y79" s="2"/>
      <c r="Z79" s="7">
        <f t="shared" si="35"/>
        <v>9.8665333333333329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6"/>
      <c r="E80" s="2"/>
      <c r="F80" s="7">
        <f t="shared" si="28"/>
        <v>0</v>
      </c>
      <c r="G80" s="2"/>
      <c r="H80" s="6"/>
      <c r="I80" s="2"/>
      <c r="J80" s="7">
        <f t="shared" si="29"/>
        <v>0</v>
      </c>
      <c r="K80" s="2"/>
      <c r="L80" s="6">
        <f t="shared" si="30"/>
        <v>0</v>
      </c>
      <c r="M80" s="2"/>
      <c r="N80" s="7">
        <f t="shared" si="31"/>
        <v>0</v>
      </c>
      <c r="O80" s="11"/>
      <c r="P80" s="6">
        <v>12.6</v>
      </c>
      <c r="Q80" s="2"/>
      <c r="R80" s="7">
        <f t="shared" si="32"/>
        <v>1.0535972443916639E-5</v>
      </c>
      <c r="S80" s="2"/>
      <c r="T80" s="6"/>
      <c r="U80" s="2"/>
      <c r="V80" s="7">
        <f t="shared" si="33"/>
        <v>0</v>
      </c>
      <c r="W80" s="2"/>
      <c r="X80" s="6">
        <f t="shared" si="34"/>
        <v>12.6</v>
      </c>
      <c r="Y80" s="2"/>
      <c r="Z80" s="7">
        <f t="shared" si="35"/>
        <v>0</v>
      </c>
    </row>
    <row r="81" spans="1:26" s="29" customFormat="1" outlineLevel="1" collapsed="1" x14ac:dyDescent="0.25">
      <c r="A81" s="27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2.0771020272515787E-4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-2.5211076919371957E-5</v>
      </c>
      <c r="S81" s="1"/>
      <c r="T81" s="1">
        <f>SUM(OSRRefT22_7x_0)</f>
        <v>150</v>
      </c>
      <c r="U81" s="1"/>
      <c r="V81" s="5">
        <f t="shared" ref="V81:V90" si="41">IF(T$12=0,0,T81/T$12)</f>
        <v>1.1119372392970481E-4</v>
      </c>
      <c r="W81" s="1"/>
      <c r="X81" s="1">
        <f t="shared" ref="X81:X90" si="42">+P81-T81</f>
        <v>-180.15</v>
      </c>
      <c r="Y81" s="1"/>
      <c r="Z81" s="5">
        <f t="shared" ref="Z81:Z90" si="43">IF(T81=0,0,X81/T81)</f>
        <v>-1.2010000000000001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36"/>
        <v>0</v>
      </c>
      <c r="G82" s="2"/>
      <c r="H82" s="6">
        <v>30</v>
      </c>
      <c r="I82" s="2"/>
      <c r="J82" s="7">
        <f t="shared" si="37"/>
        <v>2.0771020272515787E-4</v>
      </c>
      <c r="K82" s="2"/>
      <c r="L82" s="6">
        <f t="shared" si="38"/>
        <v>-30</v>
      </c>
      <c r="M82" s="2"/>
      <c r="N82" s="7">
        <f t="shared" si="39"/>
        <v>-1</v>
      </c>
      <c r="O82" s="11"/>
      <c r="P82" s="6">
        <v>-30.15</v>
      </c>
      <c r="Q82" s="2"/>
      <c r="R82" s="7">
        <f t="shared" si="40"/>
        <v>-2.5211076919371957E-5</v>
      </c>
      <c r="S82" s="2"/>
      <c r="T82" s="6">
        <v>150</v>
      </c>
      <c r="U82" s="2"/>
      <c r="V82" s="7">
        <f t="shared" si="41"/>
        <v>1.1119372392970481E-4</v>
      </c>
      <c r="W82" s="2"/>
      <c r="X82" s="6">
        <f t="shared" si="42"/>
        <v>-180.15</v>
      </c>
      <c r="Y82" s="2"/>
      <c r="Z82" s="7">
        <f t="shared" si="43"/>
        <v>-1.2010000000000001</v>
      </c>
    </row>
    <row r="83" spans="1:26" s="29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2.0909524154431387E-2</v>
      </c>
      <c r="G83" s="1"/>
      <c r="H83" s="1">
        <f>SUM(OSRRefH22_8x_0)</f>
        <v>1250</v>
      </c>
      <c r="I83" s="1"/>
      <c r="J83" s="5">
        <f t="shared" si="37"/>
        <v>8.6545917802149114E-3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6250</v>
      </c>
      <c r="Q83" s="1"/>
      <c r="R83" s="5">
        <f t="shared" si="40"/>
        <v>5.2261768074983329E-3</v>
      </c>
      <c r="S83" s="1"/>
      <c r="T83" s="1">
        <f>SUM(OSRRefT22_8x_0)</f>
        <v>6250</v>
      </c>
      <c r="U83" s="1"/>
      <c r="V83" s="5">
        <f t="shared" si="41"/>
        <v>4.6330718304043667E-3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6">
        <v>1250</v>
      </c>
      <c r="E84" s="2"/>
      <c r="F84" s="7">
        <f t="shared" si="36"/>
        <v>2.0909524154431387E-2</v>
      </c>
      <c r="G84" s="2"/>
      <c r="H84" s="6">
        <v>1250</v>
      </c>
      <c r="I84" s="2"/>
      <c r="J84" s="7">
        <f t="shared" si="37"/>
        <v>8.6545917802149114E-3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6250</v>
      </c>
      <c r="Q84" s="2"/>
      <c r="R84" s="7">
        <f t="shared" si="40"/>
        <v>5.2261768074983329E-3</v>
      </c>
      <c r="S84" s="2"/>
      <c r="T84" s="6">
        <v>6250</v>
      </c>
      <c r="U84" s="2"/>
      <c r="V84" s="7">
        <f t="shared" si="41"/>
        <v>4.6330718304043667E-3</v>
      </c>
      <c r="W84" s="2"/>
      <c r="X84" s="6">
        <f t="shared" si="42"/>
        <v>0</v>
      </c>
      <c r="Y84" s="2"/>
      <c r="Z84" s="7">
        <f t="shared" si="43"/>
        <v>0</v>
      </c>
    </row>
    <row r="85" spans="1:26" s="29" customFormat="1" outlineLevel="1" collapsed="1" x14ac:dyDescent="0.25">
      <c r="A85" s="27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1.3847346848343858E-4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105</v>
      </c>
      <c r="U85" s="1"/>
      <c r="V85" s="5">
        <f t="shared" si="41"/>
        <v>7.7835606750793369E-5</v>
      </c>
      <c r="W85" s="1"/>
      <c r="X85" s="1">
        <f t="shared" si="42"/>
        <v>-105</v>
      </c>
      <c r="Y85" s="1"/>
      <c r="Z85" s="5">
        <f t="shared" si="43"/>
        <v>-1</v>
      </c>
    </row>
    <row r="86" spans="1:26" s="24" customFormat="1" hidden="1" outlineLevel="2" x14ac:dyDescent="0.25">
      <c r="A86" s="28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6"/>
        <v>0</v>
      </c>
      <c r="G86" s="2"/>
      <c r="H86" s="6">
        <v>20</v>
      </c>
      <c r="I86" s="2"/>
      <c r="J86" s="7">
        <f t="shared" si="37"/>
        <v>1.3847346848343858E-4</v>
      </c>
      <c r="K86" s="2"/>
      <c r="L86" s="6">
        <f t="shared" si="38"/>
        <v>-20</v>
      </c>
      <c r="M86" s="2"/>
      <c r="N86" s="7">
        <f t="shared" si="39"/>
        <v>-1</v>
      </c>
      <c r="O86" s="11"/>
      <c r="P86" s="6"/>
      <c r="Q86" s="2"/>
      <c r="R86" s="7">
        <f t="shared" si="40"/>
        <v>0</v>
      </c>
      <c r="S86" s="2"/>
      <c r="T86" s="6">
        <v>105</v>
      </c>
      <c r="U86" s="2"/>
      <c r="V86" s="7">
        <f t="shared" si="41"/>
        <v>7.7835606750793369E-5</v>
      </c>
      <c r="W86" s="2"/>
      <c r="X86" s="6">
        <f t="shared" si="42"/>
        <v>-105</v>
      </c>
      <c r="Y86" s="2"/>
      <c r="Z86" s="7">
        <f t="shared" si="43"/>
        <v>-1</v>
      </c>
    </row>
    <row r="87" spans="1:26" s="29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176.21</v>
      </c>
      <c r="E87" s="1"/>
      <c r="F87" s="5">
        <f t="shared" si="36"/>
        <v>2.947573801001884E-3</v>
      </c>
      <c r="G87" s="1"/>
      <c r="H87" s="1">
        <f>SUM(OSRRefH22_10x_0)</f>
        <v>310</v>
      </c>
      <c r="I87" s="1"/>
      <c r="J87" s="5">
        <f t="shared" si="37"/>
        <v>2.1463387614932979E-3</v>
      </c>
      <c r="K87" s="1"/>
      <c r="L87" s="1">
        <f t="shared" si="38"/>
        <v>-133.79</v>
      </c>
      <c r="M87" s="1"/>
      <c r="N87" s="5">
        <f t="shared" si="39"/>
        <v>-0.4315806451612903</v>
      </c>
      <c r="O87" s="14"/>
      <c r="P87" s="1">
        <f>SUM(OSRRefP22_10x_0)</f>
        <v>1700.71</v>
      </c>
      <c r="Q87" s="1"/>
      <c r="R87" s="5">
        <f t="shared" si="40"/>
        <v>1.4221137853248783E-3</v>
      </c>
      <c r="S87" s="1"/>
      <c r="T87" s="1">
        <f>SUM(OSRRefT22_10x_0)</f>
        <v>1550</v>
      </c>
      <c r="U87" s="1"/>
      <c r="V87" s="5">
        <f t="shared" si="41"/>
        <v>1.149001813940283E-3</v>
      </c>
      <c r="W87" s="1"/>
      <c r="X87" s="1">
        <f t="shared" si="42"/>
        <v>150.71000000000004</v>
      </c>
      <c r="Y87" s="1"/>
      <c r="Z87" s="5">
        <f t="shared" si="43"/>
        <v>9.7232258064516158E-2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0</v>
      </c>
      <c r="M88" s="2"/>
      <c r="N88" s="7">
        <f t="shared" si="39"/>
        <v>0</v>
      </c>
      <c r="O88" s="11"/>
      <c r="P88" s="6">
        <v>668.12</v>
      </c>
      <c r="Q88" s="2"/>
      <c r="R88" s="7">
        <f t="shared" si="40"/>
        <v>5.5867411978012581E-4</v>
      </c>
      <c r="S88" s="2"/>
      <c r="T88" s="6"/>
      <c r="U88" s="2"/>
      <c r="V88" s="7">
        <f t="shared" si="41"/>
        <v>0</v>
      </c>
      <c r="W88" s="2"/>
      <c r="X88" s="6">
        <f t="shared" si="42"/>
        <v>668.12</v>
      </c>
      <c r="Y88" s="2"/>
      <c r="Z88" s="7">
        <f t="shared" si="43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6">
        <v>176.21</v>
      </c>
      <c r="E89" s="2"/>
      <c r="F89" s="7">
        <f t="shared" si="36"/>
        <v>2.947573801001884E-3</v>
      </c>
      <c r="G89" s="2"/>
      <c r="H89" s="6">
        <v>110</v>
      </c>
      <c r="I89" s="2"/>
      <c r="J89" s="7">
        <f t="shared" si="37"/>
        <v>7.6160407665891211E-4</v>
      </c>
      <c r="K89" s="2"/>
      <c r="L89" s="6">
        <f t="shared" si="38"/>
        <v>66.210000000000008</v>
      </c>
      <c r="M89" s="2"/>
      <c r="N89" s="7">
        <f t="shared" si="39"/>
        <v>0.60190909090909095</v>
      </c>
      <c r="O89" s="11"/>
      <c r="P89" s="6">
        <v>1032.5899999999999</v>
      </c>
      <c r="Q89" s="2"/>
      <c r="R89" s="7">
        <f t="shared" si="40"/>
        <v>8.6343966554475247E-4</v>
      </c>
      <c r="S89" s="2"/>
      <c r="T89" s="6">
        <v>550</v>
      </c>
      <c r="U89" s="2"/>
      <c r="V89" s="7">
        <f t="shared" si="41"/>
        <v>4.0771032107558429E-4</v>
      </c>
      <c r="W89" s="2"/>
      <c r="X89" s="6">
        <f t="shared" si="42"/>
        <v>482.58999999999992</v>
      </c>
      <c r="Y89" s="2"/>
      <c r="Z89" s="7">
        <f t="shared" si="43"/>
        <v>0.87743636363636346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36"/>
        <v>0</v>
      </c>
      <c r="G90" s="2"/>
      <c r="H90" s="6">
        <v>200</v>
      </c>
      <c r="I90" s="2"/>
      <c r="J90" s="7">
        <f t="shared" si="37"/>
        <v>1.3847346848343857E-3</v>
      </c>
      <c r="K90" s="2"/>
      <c r="L90" s="6">
        <f t="shared" si="38"/>
        <v>-200</v>
      </c>
      <c r="M90" s="2"/>
      <c r="N90" s="7">
        <f t="shared" si="39"/>
        <v>-1</v>
      </c>
      <c r="O90" s="11"/>
      <c r="P90" s="6"/>
      <c r="Q90" s="2"/>
      <c r="R90" s="7">
        <f t="shared" si="40"/>
        <v>0</v>
      </c>
      <c r="S90" s="2"/>
      <c r="T90" s="6">
        <v>1000</v>
      </c>
      <c r="U90" s="2"/>
      <c r="V90" s="7">
        <f t="shared" si="41"/>
        <v>7.4129149286469875E-4</v>
      </c>
      <c r="W90" s="2"/>
      <c r="X90" s="6">
        <f t="shared" si="42"/>
        <v>-1000</v>
      </c>
      <c r="Y90" s="2"/>
      <c r="Z90" s="7">
        <f t="shared" si="43"/>
        <v>-1</v>
      </c>
    </row>
    <row r="91" spans="1:26" s="29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304.5</v>
      </c>
      <c r="E91" s="1"/>
      <c r="F91" s="5">
        <f t="shared" ref="F91:F94" si="44">IF(D$12=0,0,D91/D$12)</f>
        <v>5.0935600840194863E-3</v>
      </c>
      <c r="G91" s="1"/>
      <c r="H91" s="1">
        <f>SUM(OSRRefH22_11x_0)</f>
        <v>250</v>
      </c>
      <c r="I91" s="1"/>
      <c r="J91" s="5">
        <f t="shared" ref="J91:J94" si="45">IF(H$12=0,0,H91/H$12)</f>
        <v>1.7309183560429821E-3</v>
      </c>
      <c r="K91" s="1"/>
      <c r="L91" s="1">
        <f t="shared" ref="L91:L94" si="46">+D91-H91</f>
        <v>54.5</v>
      </c>
      <c r="M91" s="1"/>
      <c r="N91" s="5">
        <f t="shared" ref="N91:N94" si="47">IF(H91=0,0,L91/H91)</f>
        <v>0.218</v>
      </c>
      <c r="O91" s="14"/>
      <c r="P91" s="1">
        <f>SUM(OSRRefP22_11x_0)</f>
        <v>1570.35</v>
      </c>
      <c r="Q91" s="1"/>
      <c r="R91" s="5">
        <f t="shared" ref="R91:R94" si="48">IF(P$12=0,0,P91/P$12)</f>
        <v>1.313108279944801E-3</v>
      </c>
      <c r="S91" s="1"/>
      <c r="T91" s="1">
        <f>SUM(OSRRefT22_11x_0)</f>
        <v>1260</v>
      </c>
      <c r="U91" s="1"/>
      <c r="V91" s="5">
        <f t="shared" ref="V91:V94" si="49">IF(T$12=0,0,T91/T$12)</f>
        <v>9.3402728100952037E-4</v>
      </c>
      <c r="W91" s="1"/>
      <c r="X91" s="1">
        <f t="shared" ref="X91:X94" si="50">+P91-T91</f>
        <v>310.34999999999991</v>
      </c>
      <c r="Y91" s="1"/>
      <c r="Z91" s="5">
        <f t="shared" ref="Z91:Z94" si="51">IF(T91=0,0,X91/T91)</f>
        <v>0.24630952380952373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6">
        <v>304.5</v>
      </c>
      <c r="E92" s="2"/>
      <c r="F92" s="7">
        <f t="shared" si="44"/>
        <v>5.0935600840194863E-3</v>
      </c>
      <c r="G92" s="2"/>
      <c r="H92" s="6">
        <v>250</v>
      </c>
      <c r="I92" s="2"/>
      <c r="J92" s="7">
        <f t="shared" si="45"/>
        <v>1.7309183560429821E-3</v>
      </c>
      <c r="K92" s="2"/>
      <c r="L92" s="6">
        <f t="shared" si="46"/>
        <v>54.5</v>
      </c>
      <c r="M92" s="2"/>
      <c r="N92" s="7">
        <f t="shared" si="47"/>
        <v>0.218</v>
      </c>
      <c r="O92" s="11"/>
      <c r="P92" s="6">
        <v>1570.35</v>
      </c>
      <c r="Q92" s="2"/>
      <c r="R92" s="7">
        <f t="shared" si="48"/>
        <v>1.313108279944801E-3</v>
      </c>
      <c r="S92" s="2"/>
      <c r="T92" s="6">
        <v>1260</v>
      </c>
      <c r="U92" s="2"/>
      <c r="V92" s="7">
        <f t="shared" si="49"/>
        <v>9.3402728100952037E-4</v>
      </c>
      <c r="W92" s="2"/>
      <c r="X92" s="6">
        <f t="shared" si="50"/>
        <v>310.34999999999991</v>
      </c>
      <c r="Y92" s="2"/>
      <c r="Z92" s="7">
        <f t="shared" si="51"/>
        <v>0.24630952380952373</v>
      </c>
    </row>
    <row r="93" spans="1:26" s="29" customFormat="1" outlineLevel="1" collapsed="1" x14ac:dyDescent="0.25">
      <c r="A93" s="27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SUM(OSRRefD22_12x_0)</f>
        <v>0</v>
      </c>
      <c r="E93" s="1"/>
      <c r="F93" s="5">
        <f t="shared" si="44"/>
        <v>0</v>
      </c>
      <c r="G93" s="1"/>
      <c r="H93" s="1">
        <f>SUM(OSRRefH22_12x_0)</f>
        <v>0</v>
      </c>
      <c r="I93" s="1"/>
      <c r="J93" s="5">
        <f t="shared" si="45"/>
        <v>0</v>
      </c>
      <c r="K93" s="1"/>
      <c r="L93" s="1">
        <f t="shared" si="46"/>
        <v>0</v>
      </c>
      <c r="M93" s="1"/>
      <c r="N93" s="5">
        <f t="shared" si="47"/>
        <v>0</v>
      </c>
      <c r="O93" s="14"/>
      <c r="P93" s="1">
        <f>SUM(OSRRefP22_12x_0)</f>
        <v>100</v>
      </c>
      <c r="Q93" s="1"/>
      <c r="R93" s="5">
        <f t="shared" si="48"/>
        <v>8.3618828919973322E-5</v>
      </c>
      <c r="S93" s="1"/>
      <c r="T93" s="1">
        <f>SUM(OSRRefT22_12x_0)</f>
        <v>0</v>
      </c>
      <c r="U93" s="1"/>
      <c r="V93" s="5">
        <f t="shared" si="49"/>
        <v>0</v>
      </c>
      <c r="W93" s="1"/>
      <c r="X93" s="1">
        <f t="shared" si="50"/>
        <v>100</v>
      </c>
      <c r="Y93" s="1"/>
      <c r="Z93" s="5">
        <f t="shared" si="51"/>
        <v>0</v>
      </c>
    </row>
    <row r="94" spans="1:26" s="24" customFormat="1" hidden="1" outlineLevel="2" x14ac:dyDescent="0.25">
      <c r="A94" s="28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44"/>
        <v>0</v>
      </c>
      <c r="G94" s="2"/>
      <c r="H94" s="6"/>
      <c r="I94" s="2"/>
      <c r="J94" s="7">
        <f t="shared" si="45"/>
        <v>0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100</v>
      </c>
      <c r="Q94" s="2"/>
      <c r="R94" s="7">
        <f t="shared" si="48"/>
        <v>8.3618828919973322E-5</v>
      </c>
      <c r="S94" s="2"/>
      <c r="T94" s="6"/>
      <c r="U94" s="2"/>
      <c r="V94" s="7">
        <f t="shared" si="49"/>
        <v>0</v>
      </c>
      <c r="W94" s="2"/>
      <c r="X94" s="6">
        <f t="shared" si="50"/>
        <v>100</v>
      </c>
      <c r="Y94" s="2"/>
      <c r="Z94" s="7">
        <f t="shared" si="51"/>
        <v>0</v>
      </c>
    </row>
    <row r="95" spans="1:26" s="62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6" t="s">
        <v>0</v>
      </c>
      <c r="C96" s="10"/>
      <c r="D96" s="4">
        <f>SUM(OSRRefD25x_0)</f>
        <v>-368.13</v>
      </c>
      <c r="E96" s="4"/>
      <c r="F96" s="12">
        <f t="shared" ref="F96:F98" si="52">IF(D$12=0,0,D96/D$12)</f>
        <v>-6.1579385015766612E-3</v>
      </c>
      <c r="G96" s="4"/>
      <c r="H96" s="4">
        <f>SUM(OSRRefH25x_0)</f>
        <v>1149</v>
      </c>
      <c r="I96" s="4"/>
      <c r="J96" s="12">
        <f t="shared" ref="J96:J98" si="53">IF(H$12=0,0,H96/H$12)</f>
        <v>7.9553007643735456E-3</v>
      </c>
      <c r="K96" s="4"/>
      <c r="L96" s="4">
        <f t="shared" ref="L96:L98" si="54">+D96-H96</f>
        <v>-1517.13</v>
      </c>
      <c r="M96" s="4"/>
      <c r="N96" s="12">
        <f t="shared" ref="N96:N98" si="55">IF(H96=0,0,L96/H96)</f>
        <v>-1.3203916449086164</v>
      </c>
      <c r="O96" s="10"/>
      <c r="P96" s="4">
        <f>SUM(OSRRefP25x_0)</f>
        <v>755.11</v>
      </c>
      <c r="Q96" s="4"/>
      <c r="R96" s="12">
        <f t="shared" ref="R96:R98" si="56">IF(P$12=0,0,P96/P$12)</f>
        <v>6.3141413905761054E-4</v>
      </c>
      <c r="S96" s="4"/>
      <c r="T96" s="4">
        <f>SUM(OSRRefT25x_0)</f>
        <v>10729</v>
      </c>
      <c r="U96" s="4"/>
      <c r="V96" s="12">
        <f t="shared" ref="V96:V98" si="57">IF(T$12=0,0,T96/T$12)</f>
        <v>7.9533164269453525E-3</v>
      </c>
      <c r="W96" s="4"/>
      <c r="X96" s="4">
        <f t="shared" ref="X96:X98" si="58">+P96-T96</f>
        <v>-9973.89</v>
      </c>
      <c r="Y96" s="4"/>
      <c r="Z96" s="12">
        <f t="shared" ref="Z96:Z98" si="59">IF(T96=0,0,X96/T96)</f>
        <v>-0.92961972224811251</v>
      </c>
    </row>
    <row r="97" spans="1:26" s="24" customFormat="1" hidden="1" outlineLevel="1" x14ac:dyDescent="0.25">
      <c r="A97" s="51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-374.75</f>
        <v>-374.75</v>
      </c>
      <c r="E97" s="2"/>
      <c r="F97" s="22">
        <f t="shared" si="52"/>
        <v>-6.2686753414985304E-3</v>
      </c>
      <c r="G97" s="2"/>
      <c r="H97" s="2"/>
      <c r="I97" s="2"/>
      <c r="J97" s="22">
        <f t="shared" si="53"/>
        <v>0</v>
      </c>
      <c r="K97" s="2"/>
      <c r="L97" s="2">
        <f t="shared" si="54"/>
        <v>-374.75</v>
      </c>
      <c r="M97" s="2"/>
      <c r="N97" s="22">
        <f t="shared" si="55"/>
        <v>0</v>
      </c>
      <c r="O97" s="11"/>
      <c r="P97" s="2">
        <f>--563.21</f>
        <v>563.21</v>
      </c>
      <c r="Q97" s="2"/>
      <c r="R97" s="22">
        <f t="shared" si="56"/>
        <v>4.7094960636018181E-4</v>
      </c>
      <c r="S97" s="2"/>
      <c r="T97" s="2"/>
      <c r="U97" s="2"/>
      <c r="V97" s="22">
        <f t="shared" si="57"/>
        <v>0</v>
      </c>
      <c r="W97" s="2"/>
      <c r="X97" s="2">
        <f t="shared" si="58"/>
        <v>563.21</v>
      </c>
      <c r="Y97" s="2"/>
      <c r="Z97" s="22">
        <f t="shared" si="59"/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>--6.62</f>
        <v>6.62</v>
      </c>
      <c r="E98" s="2"/>
      <c r="F98" s="22">
        <f t="shared" si="52"/>
        <v>1.1073683992186863E-4</v>
      </c>
      <c r="G98" s="2"/>
      <c r="H98" s="2">
        <v>1149</v>
      </c>
      <c r="I98" s="2"/>
      <c r="J98" s="22">
        <f t="shared" si="53"/>
        <v>7.9553007643735456E-3</v>
      </c>
      <c r="K98" s="2"/>
      <c r="L98" s="2">
        <f t="shared" si="54"/>
        <v>-1142.3800000000001</v>
      </c>
      <c r="M98" s="2"/>
      <c r="N98" s="22">
        <f t="shared" si="55"/>
        <v>-0.99423846823324635</v>
      </c>
      <c r="O98" s="11"/>
      <c r="P98" s="2">
        <f>--191.9</f>
        <v>191.9</v>
      </c>
      <c r="Q98" s="2"/>
      <c r="R98" s="22">
        <f t="shared" si="56"/>
        <v>1.6046453269742881E-4</v>
      </c>
      <c r="S98" s="2"/>
      <c r="T98" s="2">
        <v>10729</v>
      </c>
      <c r="U98" s="2"/>
      <c r="V98" s="22">
        <f t="shared" si="57"/>
        <v>7.9533164269453525E-3</v>
      </c>
      <c r="W98" s="2"/>
      <c r="X98" s="2">
        <f t="shared" si="58"/>
        <v>-10537.1</v>
      </c>
      <c r="Y98" s="2"/>
      <c r="Z98" s="22">
        <f t="shared" si="59"/>
        <v>-0.98211389691490358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21">
        <f>+D45-D47+D96</f>
        <v>-13429.509999999993</v>
      </c>
      <c r="E100" s="13"/>
      <c r="F100" s="20">
        <f>IF(D$12=0,0,D100/D$12)</f>
        <v>-0.22464373098174217</v>
      </c>
      <c r="G100" s="13"/>
      <c r="H100" s="21">
        <f>+H45-H47+H96</f>
        <v>15882.090797153847</v>
      </c>
      <c r="I100" s="13"/>
      <c r="J100" s="20">
        <f>IF(H$12=0,0,H100/H$12)</f>
        <v>0.10996240997253966</v>
      </c>
      <c r="K100" s="16"/>
      <c r="L100" s="21">
        <f>+D100-H100</f>
        <v>-29311.600797153842</v>
      </c>
      <c r="M100" s="16"/>
      <c r="N100" s="20">
        <f>IF(H100=0,0,L100/H100)</f>
        <v>-1.8455756972757411</v>
      </c>
      <c r="O100" s="26"/>
      <c r="P100" s="21">
        <f>+P45-P47+P96</f>
        <v>-11364.529999999693</v>
      </c>
      <c r="Q100" s="13"/>
      <c r="R100" s="20">
        <f>IF(P$12=0,0,P100/P$12)</f>
        <v>-9.5028868982587889E-3</v>
      </c>
      <c r="S100" s="13"/>
      <c r="T100" s="21">
        <f>+T45-T47+T96</f>
        <v>208007.15171434617</v>
      </c>
      <c r="U100" s="13"/>
      <c r="V100" s="20">
        <f>IF(T$12=0,0,T100/T$12)</f>
        <v>0.15419393202086154</v>
      </c>
      <c r="W100" s="16"/>
      <c r="X100" s="21">
        <f>+P100-T100</f>
        <v>-219371.68171434588</v>
      </c>
      <c r="Y100" s="16"/>
      <c r="Z100" s="20">
        <f>IF(T100=0,0,X100/T100)</f>
        <v>-1.0546352849233112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-56079.39</v>
      </c>
      <c r="E102" s="4"/>
      <c r="F102" s="12">
        <f>IF(D$12=0,0,D102/D$12)</f>
        <v>-0.9380746878166224</v>
      </c>
      <c r="G102" s="4"/>
      <c r="H102" s="4">
        <v>43383</v>
      </c>
      <c r="I102" s="4"/>
      <c r="J102" s="12">
        <f>IF(H$12=0,0,H102/H$12)</f>
        <v>0.30036972416085078</v>
      </c>
      <c r="K102" s="4"/>
      <c r="L102" s="4">
        <f>+D102-H102</f>
        <v>-99462.39</v>
      </c>
      <c r="M102" s="4"/>
      <c r="N102" s="12">
        <f>IF(H102=0,0,L102/H102)</f>
        <v>-2.292658184081322</v>
      </c>
      <c r="O102" s="10"/>
      <c r="P102" s="4">
        <v>190029</v>
      </c>
      <c r="Q102" s="4"/>
      <c r="R102" s="12">
        <f>IF(P$12=0,0,P102/P$12)</f>
        <v>0.15890002440833612</v>
      </c>
      <c r="S102" s="4"/>
      <c r="T102" s="4">
        <v>240594</v>
      </c>
      <c r="U102" s="4"/>
      <c r="V102" s="12">
        <f>IF(T$12=0,0,T102/T$12)</f>
        <v>0.17835028543428932</v>
      </c>
      <c r="W102" s="4"/>
      <c r="X102" s="4">
        <f>+P102-T102</f>
        <v>-50565</v>
      </c>
      <c r="Y102" s="4"/>
      <c r="Z102" s="12">
        <f>IF(T102=0,0,X102/T102)</f>
        <v>-0.21016733584378663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1">
        <f>+D100-D102</f>
        <v>42649.880000000005</v>
      </c>
      <c r="E104" s="13"/>
      <c r="F104" s="34">
        <f>IF(D$12=0,0,D104/D$12)</f>
        <v>0.71343095683488023</v>
      </c>
      <c r="G104" s="13"/>
      <c r="H104" s="31">
        <f>+H100-H102</f>
        <v>-27500.909202846153</v>
      </c>
      <c r="I104" s="13"/>
      <c r="J104" s="34">
        <f>IF(H$12=0,0,H104/H$12)</f>
        <v>-0.19040731418831114</v>
      </c>
      <c r="K104" s="16"/>
      <c r="L104" s="31">
        <f>D104-H104</f>
        <v>70150.78920284615</v>
      </c>
      <c r="M104" s="16"/>
      <c r="N104" s="34">
        <f>IF(H104=0,0,L104/H104)</f>
        <v>-2.5508534530773272</v>
      </c>
      <c r="O104" s="26"/>
      <c r="P104" s="31">
        <f>+P100-P102</f>
        <v>-201393.52999999968</v>
      </c>
      <c r="Q104" s="13"/>
      <c r="R104" s="34">
        <f>IF(P$12=0,0,P104/P$12)</f>
        <v>-0.16840291130659488</v>
      </c>
      <c r="S104" s="13"/>
      <c r="T104" s="31">
        <f>+T100-T102</f>
        <v>-32586.848285653832</v>
      </c>
      <c r="U104" s="13"/>
      <c r="V104" s="34">
        <f>IF(T$12=0,0,T104/T$12)</f>
        <v>-2.4156353413427777E-2</v>
      </c>
      <c r="W104" s="16"/>
      <c r="X104" s="31">
        <f>P104-T104</f>
        <v>-168806.68171434585</v>
      </c>
      <c r="Y104" s="16"/>
      <c r="Z104" s="34">
        <f>IF(T104=0,0,X104/T104)</f>
        <v>5.1802089062004191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3">
        <f>SUM(D104:D106)</f>
        <v>42649.880000000005</v>
      </c>
      <c r="E107" s="13"/>
      <c r="F107" s="30">
        <f>IF(D$12=0,0,D107/D$12)</f>
        <v>0.71343095683488023</v>
      </c>
      <c r="G107" s="13"/>
      <c r="H107" s="33">
        <f>SUM(H104:H106)</f>
        <v>-27500.909202846153</v>
      </c>
      <c r="I107" s="13"/>
      <c r="J107" s="30">
        <f>IF(H$12=0,0,H107/H$12)</f>
        <v>-0.19040731418831114</v>
      </c>
      <c r="K107" s="16"/>
      <c r="L107" s="33">
        <f>+D107-H107</f>
        <v>70150.78920284615</v>
      </c>
      <c r="M107" s="16"/>
      <c r="N107" s="30">
        <f>IF(H107=0,0,L107/H107)</f>
        <v>-2.5508534530773272</v>
      </c>
      <c r="O107" s="26"/>
      <c r="P107" s="33">
        <f>SUM(P104:P106)</f>
        <v>-201393.52999999968</v>
      </c>
      <c r="Q107" s="13"/>
      <c r="R107" s="30">
        <f>IF(P$12=0,0,P107/P$12)</f>
        <v>-0.16840291130659488</v>
      </c>
      <c r="S107" s="13"/>
      <c r="T107" s="33">
        <f>SUM(T104:T106)</f>
        <v>-32586.848285653832</v>
      </c>
      <c r="U107" s="13"/>
      <c r="V107" s="30">
        <f>IF(T$12=0,0,T107/T$12)</f>
        <v>-2.4156353413427777E-2</v>
      </c>
      <c r="W107" s="16"/>
      <c r="X107" s="33">
        <f>+P107-T107</f>
        <v>-168806.68171434585</v>
      </c>
      <c r="Y107" s="16"/>
      <c r="Z107" s="30">
        <f>IF(T107=0,0,X107/T107)</f>
        <v>5.1802089062004191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5">
        <v>44174.679658831017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7" t="s">
        <v>314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38535</v>
      </c>
      <c r="I12" s="4"/>
      <c r="J12" s="12"/>
      <c r="K12" s="4"/>
      <c r="L12" s="4">
        <f t="shared" ref="L12:L17" si="0">+D12-H12</f>
        <v>-38535</v>
      </c>
      <c r="M12" s="4"/>
      <c r="N12" s="12">
        <f t="shared" ref="N12:N17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161057</v>
      </c>
      <c r="U12" s="4"/>
      <c r="V12" s="12"/>
      <c r="W12" s="4"/>
      <c r="X12" s="4">
        <f t="shared" ref="X12:X17" si="2">+P12-T12</f>
        <v>-158470.53</v>
      </c>
      <c r="Y12" s="4"/>
      <c r="Z12" s="12">
        <f t="shared" ref="Z12:Z17" si="3">IF(T12=0,0,X12/T12)</f>
        <v>-0.98394065455087332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22"/>
      <c r="G13" s="2"/>
      <c r="H13" s="2">
        <v>3433</v>
      </c>
      <c r="I13" s="2"/>
      <c r="J13" s="22"/>
      <c r="K13" s="2"/>
      <c r="L13" s="2">
        <f t="shared" si="0"/>
        <v>-3433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13628</v>
      </c>
      <c r="U13" s="2"/>
      <c r="V13" s="22"/>
      <c r="W13" s="2"/>
      <c r="X13" s="2">
        <f t="shared" si="2"/>
        <v>-13628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35102</v>
      </c>
      <c r="I15" s="2"/>
      <c r="J15" s="22"/>
      <c r="K15" s="2"/>
      <c r="L15" s="2">
        <f t="shared" si="0"/>
        <v>-35102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147429</v>
      </c>
      <c r="U15" s="2"/>
      <c r="V15" s="22"/>
      <c r="W15" s="2"/>
      <c r="X15" s="2">
        <f t="shared" si="2"/>
        <v>-147429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--110</f>
        <v>110</v>
      </c>
      <c r="Q17" s="2"/>
      <c r="R17" s="22"/>
      <c r="S17" s="2"/>
      <c r="T17" s="2"/>
      <c r="U17" s="2"/>
      <c r="V17" s="22"/>
      <c r="W17" s="2"/>
      <c r="X17" s="2">
        <f t="shared" si="2"/>
        <v>110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0</v>
      </c>
      <c r="E19" s="4"/>
      <c r="F19" s="12">
        <f t="shared" ref="F19:F22" si="5">IF(D$12=0,0,D19/D$12)</f>
        <v>0</v>
      </c>
      <c r="G19" s="4"/>
      <c r="H19" s="4">
        <f>SUM(OSRRefH16x_0)</f>
        <v>16856</v>
      </c>
      <c r="I19" s="4"/>
      <c r="J19" s="12">
        <f t="shared" ref="J19:J22" si="6">IF(H$12=0,0,H19/H$12)</f>
        <v>0.43742052679382382</v>
      </c>
      <c r="K19" s="4"/>
      <c r="L19" s="4">
        <f t="shared" ref="L19:L22" si="7">+D19-H19</f>
        <v>-16856</v>
      </c>
      <c r="M19" s="4"/>
      <c r="N19" s="12">
        <f t="shared" ref="N19:N22" si="8">IF(H19=0,0,L19/H19)</f>
        <v>-1</v>
      </c>
      <c r="O19" s="10"/>
      <c r="P19" s="4">
        <f>SUM(OSRRefP16x_0)</f>
        <v>8842.34</v>
      </c>
      <c r="Q19" s="4"/>
      <c r="R19" s="12">
        <f t="shared" ref="R19:R22" si="9">IF(P$12=0,0,P19/P$12)</f>
        <v>3.4186903385695557</v>
      </c>
      <c r="S19" s="4"/>
      <c r="T19" s="4">
        <f>SUM(OSRRefT16x_0)</f>
        <v>68640</v>
      </c>
      <c r="U19" s="4"/>
      <c r="V19" s="12">
        <f t="shared" ref="V19:V22" si="10">IF(T$12=0,0,T19/T$12)</f>
        <v>0.42618451852449751</v>
      </c>
      <c r="W19" s="4"/>
      <c r="X19" s="4">
        <f t="shared" ref="X19:X22" si="11">+P19-T19</f>
        <v>-59797.66</v>
      </c>
      <c r="Y19" s="4"/>
      <c r="Z19" s="12">
        <f t="shared" ref="Z19:Z22" si="12">IF(T19=0,0,X19/T19)</f>
        <v>-0.87117803030303032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16856</v>
      </c>
      <c r="I20" s="2"/>
      <c r="J20" s="22">
        <f t="shared" si="6"/>
        <v>0.43742052679382382</v>
      </c>
      <c r="K20" s="2"/>
      <c r="L20" s="2">
        <f t="shared" si="7"/>
        <v>-16856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68640</v>
      </c>
      <c r="U20" s="2"/>
      <c r="V20" s="22">
        <f t="shared" si="10"/>
        <v>0.42618451852449751</v>
      </c>
      <c r="W20" s="2"/>
      <c r="X20" s="2">
        <f t="shared" si="11"/>
        <v>-68640</v>
      </c>
      <c r="Y20" s="2"/>
      <c r="Z20" s="22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-2855.57</v>
      </c>
      <c r="Q21" s="2"/>
      <c r="R21" s="22">
        <f t="shared" si="9"/>
        <v>-1.1040414155199945</v>
      </c>
      <c r="S21" s="2"/>
      <c r="T21" s="2"/>
      <c r="U21" s="2"/>
      <c r="V21" s="22">
        <f t="shared" si="10"/>
        <v>0</v>
      </c>
      <c r="W21" s="2"/>
      <c r="X21" s="2">
        <f t="shared" si="11"/>
        <v>-2855.57</v>
      </c>
      <c r="Y21" s="2"/>
      <c r="Z21" s="22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22">
        <f t="shared" si="5"/>
        <v>0</v>
      </c>
      <c r="G22" s="2"/>
      <c r="H22" s="2"/>
      <c r="I22" s="2"/>
      <c r="J22" s="22">
        <f t="shared" si="6"/>
        <v>0</v>
      </c>
      <c r="K22" s="2"/>
      <c r="L22" s="2">
        <f t="shared" si="7"/>
        <v>0</v>
      </c>
      <c r="M22" s="2"/>
      <c r="N22" s="22">
        <f t="shared" si="8"/>
        <v>0</v>
      </c>
      <c r="O22" s="11"/>
      <c r="P22" s="2">
        <v>11697.91</v>
      </c>
      <c r="Q22" s="2"/>
      <c r="R22" s="22">
        <f t="shared" si="9"/>
        <v>4.5227317540895502</v>
      </c>
      <c r="S22" s="2"/>
      <c r="T22" s="2"/>
      <c r="U22" s="2"/>
      <c r="V22" s="22">
        <f t="shared" si="10"/>
        <v>0</v>
      </c>
      <c r="W22" s="2"/>
      <c r="X22" s="2">
        <f t="shared" si="11"/>
        <v>11697.91</v>
      </c>
      <c r="Y22" s="2"/>
      <c r="Z22" s="22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21">
        <f>D12-D19</f>
        <v>0</v>
      </c>
      <c r="E24" s="13"/>
      <c r="F24" s="20">
        <f>IF(D$12=0,0,D24/D$12)</f>
        <v>0</v>
      </c>
      <c r="G24" s="13"/>
      <c r="H24" s="21">
        <f>H12-H19</f>
        <v>21679</v>
      </c>
      <c r="I24" s="13"/>
      <c r="J24" s="20">
        <f>IF(H$12=0,0,H24/H$12)</f>
        <v>0.56257947320617618</v>
      </c>
      <c r="K24" s="16"/>
      <c r="L24" s="21">
        <f>+D24-H24</f>
        <v>-21679</v>
      </c>
      <c r="M24" s="16"/>
      <c r="N24" s="20">
        <f>IF(H24=0,0,L24/H24)</f>
        <v>-1</v>
      </c>
      <c r="O24" s="26"/>
      <c r="P24" s="21">
        <f>P12-P19</f>
        <v>-6255.87</v>
      </c>
      <c r="Q24" s="13"/>
      <c r="R24" s="20">
        <f>IF(P$12=0,0,P24/P$12)</f>
        <v>-2.4186903385695557</v>
      </c>
      <c r="S24" s="13"/>
      <c r="T24" s="21">
        <f>T12-T19</f>
        <v>92417</v>
      </c>
      <c r="U24" s="13"/>
      <c r="V24" s="20">
        <f>IF(T$12=0,0,T24/T$12)</f>
        <v>0.57381548147550243</v>
      </c>
      <c r="W24" s="16"/>
      <c r="X24" s="21">
        <f>+P24-T24</f>
        <v>-98672.87</v>
      </c>
      <c r="Y24" s="16"/>
      <c r="Z24" s="20">
        <f>IF(T24=0,0,X24/T24)</f>
        <v>-1.0676917666663059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19">
        <f>SUM(OSRRefD22x_0)</f>
        <v>25744.79</v>
      </c>
      <c r="E26" s="19"/>
      <c r="F26" s="35">
        <f t="shared" ref="F26:F36" si="13">IF(D$12=0,0,D26/D$12)</f>
        <v>0</v>
      </c>
      <c r="G26" s="19"/>
      <c r="H26" s="19">
        <f>SUM(OSRRefH22x_0)</f>
        <v>49367.6172162</v>
      </c>
      <c r="I26" s="19"/>
      <c r="J26" s="35">
        <f t="shared" ref="J26:J36" si="14">IF(H$12=0,0,H26/H$12)</f>
        <v>1.28111112537174</v>
      </c>
      <c r="K26" s="4"/>
      <c r="L26" s="19">
        <f t="shared" ref="L26:L36" si="15">+D26-H26</f>
        <v>-23622.827216199999</v>
      </c>
      <c r="M26" s="4"/>
      <c r="N26" s="35">
        <f t="shared" ref="N26:N36" si="16">IF(H26=0,0,L26/H26)</f>
        <v>-0.47850855577546814</v>
      </c>
      <c r="O26" s="10"/>
      <c r="P26" s="19">
        <f>SUM(OSRRefP22x_0)</f>
        <v>151579.76999999999</v>
      </c>
      <c r="Q26" s="19"/>
      <c r="R26" s="35">
        <f t="shared" ref="R26:R36" si="17">IF(P$12=0,0,P26/P$12)</f>
        <v>58.604882329970955</v>
      </c>
      <c r="S26" s="19"/>
      <c r="T26" s="19">
        <f>SUM(OSRRefT22x_0)</f>
        <v>253689.35486050003</v>
      </c>
      <c r="U26" s="19"/>
      <c r="V26" s="35">
        <f t="shared" ref="V26:V36" si="18">IF(T$12=0,0,T26/T$12)</f>
        <v>1.5751526159092746</v>
      </c>
      <c r="W26" s="4"/>
      <c r="X26" s="19">
        <f t="shared" ref="X26:X36" si="19">+P26-T26</f>
        <v>-102109.58486050004</v>
      </c>
      <c r="Y26" s="4"/>
      <c r="Z26" s="35">
        <f t="shared" ref="Z26:Z36" si="20">IF(T26=0,0,X26/T26)</f>
        <v>-0.40249850024904893</v>
      </c>
    </row>
    <row r="27" spans="1:26" s="29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5031</v>
      </c>
      <c r="E27" s="1"/>
      <c r="F27" s="5">
        <f t="shared" si="13"/>
        <v>0</v>
      </c>
      <c r="G27" s="1"/>
      <c r="H27" s="1">
        <f>SUM(OSRRefH22_0x_0)</f>
        <v>7301.0572161999989</v>
      </c>
      <c r="I27" s="1"/>
      <c r="J27" s="5">
        <f t="shared" si="14"/>
        <v>0.18946560830932915</v>
      </c>
      <c r="K27" s="1"/>
      <c r="L27" s="1">
        <f t="shared" si="15"/>
        <v>-2270.0572161999989</v>
      </c>
      <c r="M27" s="1"/>
      <c r="N27" s="5">
        <f t="shared" si="16"/>
        <v>-0.31092171297645327</v>
      </c>
      <c r="O27" s="14"/>
      <c r="P27" s="1">
        <f>SUM(OSRRefP22_0x_0)</f>
        <v>32397.87</v>
      </c>
      <c r="Q27" s="1"/>
      <c r="R27" s="5">
        <f t="shared" si="17"/>
        <v>12.525902098226538</v>
      </c>
      <c r="S27" s="1"/>
      <c r="T27" s="1">
        <f>SUM(OSRRefT22_0x_0)</f>
        <v>37593.422860500003</v>
      </c>
      <c r="U27" s="1"/>
      <c r="V27" s="5">
        <f t="shared" si="18"/>
        <v>0.23341688259746551</v>
      </c>
      <c r="W27" s="1"/>
      <c r="X27" s="1">
        <f t="shared" si="19"/>
        <v>-5195.5528605000036</v>
      </c>
      <c r="Y27" s="1"/>
      <c r="Z27" s="5">
        <f t="shared" si="20"/>
        <v>-0.1382037724997649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6">
        <v>337.96</v>
      </c>
      <c r="E28" s="2"/>
      <c r="F28" s="7">
        <f t="shared" si="13"/>
        <v>0</v>
      </c>
      <c r="G28" s="2"/>
      <c r="H28" s="6">
        <v>972.6764022000001</v>
      </c>
      <c r="I28" s="2"/>
      <c r="J28" s="7">
        <f t="shared" si="14"/>
        <v>2.5241375430128457E-2</v>
      </c>
      <c r="K28" s="2"/>
      <c r="L28" s="6">
        <f t="shared" si="15"/>
        <v>-634.71640220000018</v>
      </c>
      <c r="M28" s="2"/>
      <c r="N28" s="7">
        <f t="shared" si="16"/>
        <v>-0.65254631526414975</v>
      </c>
      <c r="O28" s="11"/>
      <c r="P28" s="6">
        <v>3909.68</v>
      </c>
      <c r="Q28" s="2"/>
      <c r="R28" s="7">
        <f t="shared" si="17"/>
        <v>1.5115891543300326</v>
      </c>
      <c r="S28" s="2"/>
      <c r="T28" s="6">
        <v>5232.0767655</v>
      </c>
      <c r="U28" s="2"/>
      <c r="V28" s="7">
        <f t="shared" si="18"/>
        <v>3.2485870005650175E-2</v>
      </c>
      <c r="W28" s="2"/>
      <c r="X28" s="6">
        <f t="shared" si="19"/>
        <v>-1322.3967655000001</v>
      </c>
      <c r="Y28" s="2"/>
      <c r="Z28" s="7">
        <f t="shared" si="20"/>
        <v>-0.25274796696787882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6">
        <v>170.51</v>
      </c>
      <c r="E29" s="2"/>
      <c r="F29" s="7">
        <f t="shared" si="13"/>
        <v>0</v>
      </c>
      <c r="G29" s="2"/>
      <c r="H29" s="6">
        <v>376.85869000000002</v>
      </c>
      <c r="I29" s="2"/>
      <c r="J29" s="7">
        <f t="shared" si="14"/>
        <v>9.7796468145841444E-3</v>
      </c>
      <c r="K29" s="2"/>
      <c r="L29" s="6">
        <f t="shared" si="15"/>
        <v>-206.34869000000003</v>
      </c>
      <c r="M29" s="2"/>
      <c r="N29" s="7">
        <f t="shared" si="16"/>
        <v>-0.54754924186569776</v>
      </c>
      <c r="O29" s="11"/>
      <c r="P29" s="6">
        <v>830.67</v>
      </c>
      <c r="Q29" s="2"/>
      <c r="R29" s="7">
        <f t="shared" si="17"/>
        <v>0.32115972735040416</v>
      </c>
      <c r="S29" s="2"/>
      <c r="T29" s="6">
        <v>1911.8168249999999</v>
      </c>
      <c r="U29" s="2"/>
      <c r="V29" s="7">
        <f t="shared" si="18"/>
        <v>1.1870436087844676E-2</v>
      </c>
      <c r="W29" s="2"/>
      <c r="X29" s="6">
        <f t="shared" si="19"/>
        <v>-1081.1468249999998</v>
      </c>
      <c r="Y29" s="2"/>
      <c r="Z29" s="7">
        <f t="shared" si="20"/>
        <v>-0.56550753757489292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6">
        <v>2704.94</v>
      </c>
      <c r="E30" s="2"/>
      <c r="F30" s="7">
        <f t="shared" si="13"/>
        <v>0</v>
      </c>
      <c r="G30" s="2"/>
      <c r="H30" s="6">
        <v>3960</v>
      </c>
      <c r="I30" s="2"/>
      <c r="J30" s="7">
        <f t="shared" si="14"/>
        <v>0.10276372129233165</v>
      </c>
      <c r="K30" s="2"/>
      <c r="L30" s="6">
        <f t="shared" si="15"/>
        <v>-1255.06</v>
      </c>
      <c r="M30" s="2"/>
      <c r="N30" s="7">
        <f t="shared" si="16"/>
        <v>-0.3169343434343434</v>
      </c>
      <c r="O30" s="11"/>
      <c r="P30" s="6">
        <v>15440.329999999998</v>
      </c>
      <c r="Q30" s="2"/>
      <c r="R30" s="7">
        <f t="shared" si="17"/>
        <v>5.9696536205716662</v>
      </c>
      <c r="S30" s="2"/>
      <c r="T30" s="6">
        <v>19800</v>
      </c>
      <c r="U30" s="2"/>
      <c r="V30" s="7">
        <f t="shared" si="18"/>
        <v>0.12293784188206659</v>
      </c>
      <c r="W30" s="2"/>
      <c r="X30" s="6">
        <f t="shared" si="19"/>
        <v>-4359.6700000000019</v>
      </c>
      <c r="Y30" s="2"/>
      <c r="Z30" s="7">
        <f t="shared" si="20"/>
        <v>-0.22018535353535362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6">
        <v>39.35</v>
      </c>
      <c r="E31" s="2"/>
      <c r="F31" s="7">
        <f t="shared" si="13"/>
        <v>0</v>
      </c>
      <c r="G31" s="2"/>
      <c r="H31" s="6">
        <v>52.963923999999999</v>
      </c>
      <c r="I31" s="2"/>
      <c r="J31" s="7">
        <f t="shared" si="14"/>
        <v>1.3744368496172311E-3</v>
      </c>
      <c r="K31" s="2"/>
      <c r="L31" s="6">
        <f t="shared" si="15"/>
        <v>-13.613923999999997</v>
      </c>
      <c r="M31" s="2"/>
      <c r="N31" s="7">
        <f t="shared" si="16"/>
        <v>-0.25704145334850942</v>
      </c>
      <c r="O31" s="11"/>
      <c r="P31" s="6">
        <v>132.15</v>
      </c>
      <c r="Q31" s="2"/>
      <c r="R31" s="7">
        <f t="shared" si="17"/>
        <v>5.1092802158927031E-2</v>
      </c>
      <c r="S31" s="2"/>
      <c r="T31" s="6">
        <v>268.68777</v>
      </c>
      <c r="U31" s="2"/>
      <c r="V31" s="7">
        <f t="shared" si="18"/>
        <v>1.6682775042376301E-3</v>
      </c>
      <c r="W31" s="2"/>
      <c r="X31" s="6">
        <f t="shared" si="19"/>
        <v>-136.53776999999999</v>
      </c>
      <c r="Y31" s="2"/>
      <c r="Z31" s="7">
        <f t="shared" si="20"/>
        <v>-0.50816518370002473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6">
        <v>1230.53</v>
      </c>
      <c r="E32" s="2"/>
      <c r="F32" s="7">
        <f t="shared" si="13"/>
        <v>0</v>
      </c>
      <c r="G32" s="2"/>
      <c r="H32" s="6">
        <v>836.43600000000004</v>
      </c>
      <c r="I32" s="2"/>
      <c r="J32" s="7">
        <f t="shared" si="14"/>
        <v>2.1705877773452707E-2</v>
      </c>
      <c r="K32" s="2"/>
      <c r="L32" s="6">
        <f t="shared" si="15"/>
        <v>394.09399999999994</v>
      </c>
      <c r="M32" s="2"/>
      <c r="N32" s="7">
        <f t="shared" si="16"/>
        <v>0.47115858236613434</v>
      </c>
      <c r="O32" s="11"/>
      <c r="P32" s="6">
        <v>5525.49</v>
      </c>
      <c r="Q32" s="2"/>
      <c r="R32" s="7">
        <f t="shared" si="17"/>
        <v>2.1363054665238721</v>
      </c>
      <c r="S32" s="2"/>
      <c r="T32" s="6">
        <v>4600.3980000000001</v>
      </c>
      <c r="U32" s="2"/>
      <c r="V32" s="7">
        <f t="shared" si="18"/>
        <v>2.8563787975685626E-2</v>
      </c>
      <c r="W32" s="2"/>
      <c r="X32" s="6">
        <f t="shared" si="19"/>
        <v>925.09199999999964</v>
      </c>
      <c r="Y32" s="2"/>
      <c r="Z32" s="7">
        <f t="shared" si="20"/>
        <v>0.20108955790346827</v>
      </c>
    </row>
    <row r="33" spans="1:26" s="24" customFormat="1" hidden="1" outlineLevel="2" x14ac:dyDescent="0.25">
      <c r="A33" s="28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>
        <v>323.39</v>
      </c>
      <c r="E34" s="2"/>
      <c r="F34" s="7">
        <f t="shared" si="13"/>
        <v>0</v>
      </c>
      <c r="G34" s="2"/>
      <c r="H34" s="6">
        <v>374.98</v>
      </c>
      <c r="I34" s="2"/>
      <c r="J34" s="7">
        <f t="shared" si="14"/>
        <v>9.7308939924743744E-3</v>
      </c>
      <c r="K34" s="2"/>
      <c r="L34" s="6">
        <f t="shared" si="15"/>
        <v>-51.590000000000032</v>
      </c>
      <c r="M34" s="2"/>
      <c r="N34" s="7">
        <f t="shared" si="16"/>
        <v>-0.13758067096911844</v>
      </c>
      <c r="O34" s="11"/>
      <c r="P34" s="6">
        <v>3386</v>
      </c>
      <c r="Q34" s="2"/>
      <c r="R34" s="7">
        <f t="shared" si="17"/>
        <v>1.3091201521765183</v>
      </c>
      <c r="S34" s="2"/>
      <c r="T34" s="6">
        <v>2062.39</v>
      </c>
      <c r="U34" s="2"/>
      <c r="V34" s="7">
        <f t="shared" si="18"/>
        <v>1.2805342208038147E-2</v>
      </c>
      <c r="W34" s="2"/>
      <c r="X34" s="6">
        <f t="shared" si="19"/>
        <v>1323.6100000000001</v>
      </c>
      <c r="Y34" s="2"/>
      <c r="Z34" s="7">
        <f t="shared" si="20"/>
        <v>0.64178453153865189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>
        <v>224.32</v>
      </c>
      <c r="E35" s="2"/>
      <c r="F35" s="7">
        <f t="shared" si="13"/>
        <v>0</v>
      </c>
      <c r="G35" s="2"/>
      <c r="H35" s="6">
        <v>552.1422</v>
      </c>
      <c r="I35" s="2"/>
      <c r="J35" s="7">
        <f t="shared" si="14"/>
        <v>1.4328330089528999E-2</v>
      </c>
      <c r="K35" s="2"/>
      <c r="L35" s="6">
        <f t="shared" si="15"/>
        <v>-327.82220000000001</v>
      </c>
      <c r="M35" s="2"/>
      <c r="N35" s="7">
        <f t="shared" si="16"/>
        <v>-0.59372784764504505</v>
      </c>
      <c r="O35" s="11"/>
      <c r="P35" s="6">
        <v>2447.1799999999998</v>
      </c>
      <c r="Q35" s="2"/>
      <c r="R35" s="7">
        <f t="shared" si="17"/>
        <v>0.94614667867788904</v>
      </c>
      <c r="S35" s="2"/>
      <c r="T35" s="6">
        <v>2843.0535</v>
      </c>
      <c r="U35" s="2"/>
      <c r="V35" s="7">
        <f t="shared" si="18"/>
        <v>1.7652467759861415E-2</v>
      </c>
      <c r="W35" s="2"/>
      <c r="X35" s="6">
        <f t="shared" si="19"/>
        <v>-395.87350000000015</v>
      </c>
      <c r="Y35" s="2"/>
      <c r="Z35" s="7">
        <f t="shared" si="20"/>
        <v>-0.13924236740532675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6"/>
      <c r="E36" s="2"/>
      <c r="F36" s="7">
        <f t="shared" si="13"/>
        <v>0</v>
      </c>
      <c r="G36" s="2"/>
      <c r="H36" s="6">
        <v>175</v>
      </c>
      <c r="I36" s="2"/>
      <c r="J36" s="7">
        <f t="shared" si="14"/>
        <v>4.5413260672116261E-3</v>
      </c>
      <c r="K36" s="2"/>
      <c r="L36" s="6">
        <f t="shared" si="15"/>
        <v>-175</v>
      </c>
      <c r="M36" s="2"/>
      <c r="N36" s="7">
        <f t="shared" si="16"/>
        <v>-1</v>
      </c>
      <c r="O36" s="11"/>
      <c r="P36" s="6">
        <v>726.37</v>
      </c>
      <c r="Q36" s="2"/>
      <c r="R36" s="7">
        <f t="shared" si="17"/>
        <v>0.28083449643722908</v>
      </c>
      <c r="S36" s="2"/>
      <c r="T36" s="6">
        <v>875</v>
      </c>
      <c r="U36" s="2"/>
      <c r="V36" s="7">
        <f t="shared" si="18"/>
        <v>5.4328591740812259E-3</v>
      </c>
      <c r="W36" s="2"/>
      <c r="X36" s="6">
        <f t="shared" si="19"/>
        <v>-148.63</v>
      </c>
      <c r="Y36" s="2"/>
      <c r="Z36" s="7">
        <f t="shared" si="20"/>
        <v>-0.16986285714285715</v>
      </c>
    </row>
    <row r="37" spans="1:26" s="29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4169</v>
      </c>
      <c r="E37" s="1"/>
      <c r="F37" s="5">
        <f t="shared" ref="F37:F47" si="21">IF(D$12=0,0,D37/D$12)</f>
        <v>0</v>
      </c>
      <c r="G37" s="1"/>
      <c r="H37" s="1">
        <f>SUM(OSRRefH22_1x_0)</f>
        <v>19562.559999999998</v>
      </c>
      <c r="I37" s="1"/>
      <c r="J37" s="5">
        <f t="shared" ref="J37:J47" si="22">IF(H$12=0,0,H37/H$12)</f>
        <v>0.5076569352536654</v>
      </c>
      <c r="K37" s="1"/>
      <c r="L37" s="1">
        <f t="shared" ref="L37:L47" si="23">+D37-H37</f>
        <v>-15393.559999999998</v>
      </c>
      <c r="M37" s="1"/>
      <c r="N37" s="5">
        <f t="shared" ref="N37:N47" si="24">IF(H37=0,0,L37/H37)</f>
        <v>-0.78688883254543374</v>
      </c>
      <c r="O37" s="14"/>
      <c r="P37" s="1">
        <f>SUM(OSRRefP22_1x_0)</f>
        <v>41960.38</v>
      </c>
      <c r="Q37" s="1"/>
      <c r="R37" s="5">
        <f t="shared" ref="R37:R47" si="25">IF(P$12=0,0,P37/P$12)</f>
        <v>16.223029843763893</v>
      </c>
      <c r="S37" s="1"/>
      <c r="T37" s="1">
        <f>SUM(OSRRefT22_1x_0)</f>
        <v>98991.932000000015</v>
      </c>
      <c r="U37" s="1"/>
      <c r="V37" s="5">
        <f t="shared" ref="V37:V47" si="26">IF(T$12=0,0,T37/T$12)</f>
        <v>0.61463911534425708</v>
      </c>
      <c r="W37" s="1"/>
      <c r="X37" s="1">
        <f t="shared" ref="X37:X47" si="27">+P37-T37</f>
        <v>-57031.552000000018</v>
      </c>
      <c r="Y37" s="1"/>
      <c r="Z37" s="5">
        <f t="shared" ref="Z37:Z47" si="28">IF(T37=0,0,X37/T37)</f>
        <v>-0.57612323396213749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5287.7</v>
      </c>
      <c r="I38" s="2"/>
      <c r="J38" s="7">
        <f t="shared" si="22"/>
        <v>0.13721811340339951</v>
      </c>
      <c r="K38" s="2"/>
      <c r="L38" s="6">
        <f t="shared" si="23"/>
        <v>-5287.7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29082.350000000002</v>
      </c>
      <c r="U38" s="2"/>
      <c r="V38" s="7">
        <f t="shared" si="26"/>
        <v>0.1805717851443899</v>
      </c>
      <c r="W38" s="2"/>
      <c r="X38" s="6">
        <f t="shared" si="27"/>
        <v>-29082.350000000002</v>
      </c>
      <c r="Y38" s="2"/>
      <c r="Z38" s="7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4169</v>
      </c>
      <c r="E39" s="2"/>
      <c r="F39" s="7">
        <f t="shared" si="21"/>
        <v>0</v>
      </c>
      <c r="G39" s="2"/>
      <c r="H39" s="6">
        <v>3744</v>
      </c>
      <c r="I39" s="2"/>
      <c r="J39" s="7">
        <f t="shared" si="22"/>
        <v>9.7158427403659015E-2</v>
      </c>
      <c r="K39" s="2"/>
      <c r="L39" s="6">
        <f t="shared" si="23"/>
        <v>425</v>
      </c>
      <c r="M39" s="2"/>
      <c r="N39" s="7">
        <f t="shared" si="24"/>
        <v>0.11351495726495726</v>
      </c>
      <c r="O39" s="11"/>
      <c r="P39" s="6">
        <v>39828.42</v>
      </c>
      <c r="Q39" s="2"/>
      <c r="R39" s="7">
        <f t="shared" si="25"/>
        <v>15.398755833239896</v>
      </c>
      <c r="S39" s="2"/>
      <c r="T39" s="6">
        <v>20592</v>
      </c>
      <c r="U39" s="2"/>
      <c r="V39" s="7">
        <f t="shared" si="26"/>
        <v>0.12785535555734925</v>
      </c>
      <c r="W39" s="2"/>
      <c r="X39" s="6">
        <f t="shared" si="27"/>
        <v>19236.419999999998</v>
      </c>
      <c r="Y39" s="2"/>
      <c r="Z39" s="7">
        <f t="shared" si="28"/>
        <v>0.93416958041958031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1"/>
        <v>0</v>
      </c>
      <c r="G41" s="2"/>
      <c r="H41" s="6">
        <v>2983.74</v>
      </c>
      <c r="I41" s="2"/>
      <c r="J41" s="7">
        <f t="shared" si="22"/>
        <v>7.7429349941611519E-2</v>
      </c>
      <c r="K41" s="2"/>
      <c r="L41" s="6">
        <f t="shared" si="23"/>
        <v>-2983.74</v>
      </c>
      <c r="M41" s="2"/>
      <c r="N41" s="7">
        <f t="shared" si="24"/>
        <v>-1</v>
      </c>
      <c r="O41" s="11"/>
      <c r="P41" s="6"/>
      <c r="Q41" s="2"/>
      <c r="R41" s="7">
        <f t="shared" si="25"/>
        <v>0</v>
      </c>
      <c r="S41" s="2"/>
      <c r="T41" s="6">
        <v>14093.35</v>
      </c>
      <c r="U41" s="2"/>
      <c r="V41" s="7">
        <f t="shared" si="26"/>
        <v>8.7505355246900174E-2</v>
      </c>
      <c r="W41" s="2"/>
      <c r="X41" s="6">
        <f t="shared" si="27"/>
        <v>-14093.35</v>
      </c>
      <c r="Y41" s="2"/>
      <c r="Z41" s="7">
        <f t="shared" si="28"/>
        <v>-1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3288.22</v>
      </c>
      <c r="I42" s="2"/>
      <c r="J42" s="7">
        <f t="shared" si="22"/>
        <v>8.5330738289866356E-2</v>
      </c>
      <c r="K42" s="2"/>
      <c r="L42" s="6">
        <f t="shared" si="23"/>
        <v>-3288.22</v>
      </c>
      <c r="M42" s="2"/>
      <c r="N42" s="7">
        <f t="shared" si="24"/>
        <v>-1</v>
      </c>
      <c r="O42" s="11"/>
      <c r="P42" s="6">
        <v>2131.96</v>
      </c>
      <c r="Q42" s="2"/>
      <c r="R42" s="7">
        <f t="shared" si="25"/>
        <v>0.82427401052399596</v>
      </c>
      <c r="S42" s="2"/>
      <c r="T42" s="6">
        <v>15382.102000000001</v>
      </c>
      <c r="U42" s="2"/>
      <c r="V42" s="7">
        <f t="shared" si="26"/>
        <v>9.5507193105546492E-2</v>
      </c>
      <c r="W42" s="2"/>
      <c r="X42" s="6">
        <f t="shared" si="27"/>
        <v>-13250.142</v>
      </c>
      <c r="Y42" s="2"/>
      <c r="Z42" s="7">
        <f t="shared" si="28"/>
        <v>-0.8613999569109605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0</v>
      </c>
      <c r="Q44" s="2"/>
      <c r="R44" s="7">
        <f t="shared" si="25"/>
        <v>0</v>
      </c>
      <c r="S44" s="2"/>
      <c r="T44" s="6">
        <v>756.6</v>
      </c>
      <c r="U44" s="2"/>
      <c r="V44" s="7">
        <f t="shared" si="26"/>
        <v>4.697715715554121E-3</v>
      </c>
      <c r="W44" s="2"/>
      <c r="X44" s="6">
        <f t="shared" si="27"/>
        <v>-756.6</v>
      </c>
      <c r="Y44" s="2"/>
      <c r="Z44" s="7">
        <f t="shared" si="28"/>
        <v>-1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4258.8999999999996</v>
      </c>
      <c r="I45" s="2"/>
      <c r="J45" s="7">
        <f t="shared" si="22"/>
        <v>0.11052030621512909</v>
      </c>
      <c r="K45" s="2"/>
      <c r="L45" s="6">
        <f t="shared" si="23"/>
        <v>-4258.8999999999996</v>
      </c>
      <c r="M45" s="2"/>
      <c r="N45" s="7">
        <f t="shared" si="24"/>
        <v>-1</v>
      </c>
      <c r="O45" s="11"/>
      <c r="P45" s="6"/>
      <c r="Q45" s="2"/>
      <c r="R45" s="7">
        <f t="shared" si="25"/>
        <v>0</v>
      </c>
      <c r="S45" s="2"/>
      <c r="T45" s="6">
        <v>19085.53</v>
      </c>
      <c r="U45" s="2"/>
      <c r="V45" s="7">
        <f t="shared" si="26"/>
        <v>0.11850171057451708</v>
      </c>
      <c r="W45" s="2"/>
      <c r="X45" s="6">
        <f t="shared" si="27"/>
        <v>-19085.53</v>
      </c>
      <c r="Y45" s="2"/>
      <c r="Z45" s="7">
        <f t="shared" si="28"/>
        <v>-1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9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9">IF(D$12=0,0,D48/D$12)</f>
        <v>0</v>
      </c>
      <c r="G48" s="1"/>
      <c r="H48" s="1">
        <f>SUM(OSRRefH22_2x_0)</f>
        <v>539</v>
      </c>
      <c r="I48" s="1"/>
      <c r="J48" s="5">
        <f t="shared" ref="J48:J56" si="30">IF(H$12=0,0,H48/H$12)</f>
        <v>1.3987284287011808E-2</v>
      </c>
      <c r="K48" s="1"/>
      <c r="L48" s="1">
        <f t="shared" ref="L48:L56" si="31">+D48-H48</f>
        <v>-539</v>
      </c>
      <c r="M48" s="1"/>
      <c r="N48" s="5">
        <f t="shared" ref="N48:N56" si="32">IF(H48=0,0,L48/H48)</f>
        <v>-1</v>
      </c>
      <c r="O48" s="14"/>
      <c r="P48" s="1">
        <f>SUM(OSRRefP22_2x_0)</f>
        <v>0</v>
      </c>
      <c r="Q48" s="1"/>
      <c r="R48" s="5">
        <f t="shared" ref="R48:R56" si="33">IF(P$12=0,0,P48/P$12)</f>
        <v>0</v>
      </c>
      <c r="S48" s="1"/>
      <c r="T48" s="1">
        <f>SUM(OSRRefT22_2x_0)</f>
        <v>1541</v>
      </c>
      <c r="U48" s="1"/>
      <c r="V48" s="5">
        <f t="shared" ref="V48:V56" si="34">IF(T$12=0,0,T48/T$12)</f>
        <v>9.5680411282961925E-3</v>
      </c>
      <c r="W48" s="1"/>
      <c r="X48" s="1">
        <f t="shared" ref="X48:X56" si="35">+P48-T48</f>
        <v>-1541</v>
      </c>
      <c r="Y48" s="1"/>
      <c r="Z48" s="5">
        <f t="shared" ref="Z48:Z56" si="36">IF(T48=0,0,X48/T48)</f>
        <v>-1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539</v>
      </c>
      <c r="I49" s="2"/>
      <c r="J49" s="7">
        <f t="shared" si="30"/>
        <v>1.3987284287011808E-2</v>
      </c>
      <c r="K49" s="2"/>
      <c r="L49" s="6">
        <f t="shared" si="31"/>
        <v>-539</v>
      </c>
      <c r="M49" s="2"/>
      <c r="N49" s="7">
        <f t="shared" si="32"/>
        <v>-1</v>
      </c>
      <c r="O49" s="11"/>
      <c r="P49" s="6"/>
      <c r="Q49" s="2"/>
      <c r="R49" s="7">
        <f t="shared" si="33"/>
        <v>0</v>
      </c>
      <c r="S49" s="2"/>
      <c r="T49" s="6">
        <v>1541</v>
      </c>
      <c r="U49" s="2"/>
      <c r="V49" s="7">
        <f t="shared" si="34"/>
        <v>9.5680411282961925E-3</v>
      </c>
      <c r="W49" s="2"/>
      <c r="X49" s="6">
        <f t="shared" si="35"/>
        <v>-1541</v>
      </c>
      <c r="Y49" s="2"/>
      <c r="Z49" s="7">
        <f t="shared" si="36"/>
        <v>-1</v>
      </c>
    </row>
    <row r="50" spans="1:26" s="29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8</v>
      </c>
      <c r="I50" s="1"/>
      <c r="J50" s="5">
        <f t="shared" si="30"/>
        <v>2.0760347735824576E-4</v>
      </c>
      <c r="K50" s="1"/>
      <c r="L50" s="1">
        <f t="shared" si="31"/>
        <v>-8</v>
      </c>
      <c r="M50" s="1"/>
      <c r="N50" s="5">
        <f t="shared" si="32"/>
        <v>-1</v>
      </c>
      <c r="O50" s="14"/>
      <c r="P50" s="1">
        <f>SUM(OSRRefP22_3x_0)</f>
        <v>3.31</v>
      </c>
      <c r="Q50" s="1"/>
      <c r="R50" s="5">
        <f t="shared" si="33"/>
        <v>1.2797364748092959E-3</v>
      </c>
      <c r="S50" s="1"/>
      <c r="T50" s="1">
        <f>SUM(OSRRefT22_3x_0)</f>
        <v>46</v>
      </c>
      <c r="U50" s="1"/>
      <c r="V50" s="5">
        <f t="shared" si="34"/>
        <v>2.8561316800884158E-4</v>
      </c>
      <c r="W50" s="1"/>
      <c r="X50" s="1">
        <f t="shared" si="35"/>
        <v>-42.69</v>
      </c>
      <c r="Y50" s="1"/>
      <c r="Z50" s="5">
        <f t="shared" si="36"/>
        <v>-0.92804347826086953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8</v>
      </c>
      <c r="I51" s="2"/>
      <c r="J51" s="7">
        <f t="shared" si="30"/>
        <v>2.0760347735824576E-4</v>
      </c>
      <c r="K51" s="2"/>
      <c r="L51" s="6">
        <f t="shared" si="31"/>
        <v>-8</v>
      </c>
      <c r="M51" s="2"/>
      <c r="N51" s="7">
        <f t="shared" si="32"/>
        <v>-1</v>
      </c>
      <c r="O51" s="11"/>
      <c r="P51" s="6">
        <v>3.31</v>
      </c>
      <c r="Q51" s="2"/>
      <c r="R51" s="7">
        <f t="shared" si="33"/>
        <v>1.2797364748092959E-3</v>
      </c>
      <c r="S51" s="2"/>
      <c r="T51" s="6">
        <v>46</v>
      </c>
      <c r="U51" s="2"/>
      <c r="V51" s="7">
        <f t="shared" si="34"/>
        <v>2.8561316800884158E-4</v>
      </c>
      <c r="W51" s="2"/>
      <c r="X51" s="6">
        <f t="shared" si="35"/>
        <v>-42.69</v>
      </c>
      <c r="Y51" s="2"/>
      <c r="Z51" s="7">
        <f t="shared" si="36"/>
        <v>-0.92804347826086953</v>
      </c>
    </row>
    <row r="52" spans="1:26" s="29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205.09</v>
      </c>
      <c r="E52" s="1"/>
      <c r="F52" s="5">
        <f t="shared" si="29"/>
        <v>0</v>
      </c>
      <c r="G52" s="1"/>
      <c r="H52" s="1">
        <f>SUM(OSRRefH22_4x_0)</f>
        <v>4188</v>
      </c>
      <c r="I52" s="1"/>
      <c r="J52" s="5">
        <f t="shared" si="30"/>
        <v>0.10868042039704165</v>
      </c>
      <c r="K52" s="1"/>
      <c r="L52" s="1">
        <f t="shared" si="31"/>
        <v>-3982.91</v>
      </c>
      <c r="M52" s="1"/>
      <c r="N52" s="5">
        <f t="shared" si="32"/>
        <v>-0.9510291308500477</v>
      </c>
      <c r="O52" s="14"/>
      <c r="P52" s="1">
        <f>SUM(OSRRefP22_4x_0)</f>
        <v>639.33000000000004</v>
      </c>
      <c r="Q52" s="1"/>
      <c r="R52" s="5">
        <f t="shared" si="33"/>
        <v>0.24718245330508376</v>
      </c>
      <c r="S52" s="1"/>
      <c r="T52" s="1">
        <f>SUM(OSRRefT22_4x_0)</f>
        <v>17799</v>
      </c>
      <c r="U52" s="1"/>
      <c r="V52" s="5">
        <f t="shared" si="34"/>
        <v>0.11051366907368199</v>
      </c>
      <c r="W52" s="1"/>
      <c r="X52" s="1">
        <f t="shared" si="35"/>
        <v>-17159.669999999998</v>
      </c>
      <c r="Y52" s="1"/>
      <c r="Z52" s="5">
        <f t="shared" si="36"/>
        <v>-0.96408056632395067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6">
        <v>205.09</v>
      </c>
      <c r="E53" s="2"/>
      <c r="F53" s="7">
        <f t="shared" si="29"/>
        <v>0</v>
      </c>
      <c r="G53" s="2"/>
      <c r="H53" s="6">
        <v>4188</v>
      </c>
      <c r="I53" s="2"/>
      <c r="J53" s="7">
        <f t="shared" si="30"/>
        <v>0.10868042039704165</v>
      </c>
      <c r="K53" s="2"/>
      <c r="L53" s="6">
        <f t="shared" si="31"/>
        <v>-3982.91</v>
      </c>
      <c r="M53" s="2"/>
      <c r="N53" s="7">
        <f t="shared" si="32"/>
        <v>-0.9510291308500477</v>
      </c>
      <c r="O53" s="11"/>
      <c r="P53" s="6">
        <v>639.33000000000004</v>
      </c>
      <c r="Q53" s="2"/>
      <c r="R53" s="7">
        <f t="shared" si="33"/>
        <v>0.24718245330508376</v>
      </c>
      <c r="S53" s="2"/>
      <c r="T53" s="6">
        <v>17799</v>
      </c>
      <c r="U53" s="2"/>
      <c r="V53" s="7">
        <f t="shared" si="34"/>
        <v>0.11051366907368199</v>
      </c>
      <c r="W53" s="2"/>
      <c r="X53" s="6">
        <f t="shared" si="35"/>
        <v>-17159.669999999998</v>
      </c>
      <c r="Y53" s="2"/>
      <c r="Z53" s="7">
        <f t="shared" si="36"/>
        <v>-0.96408056632395067</v>
      </c>
    </row>
    <row r="54" spans="1:26" s="29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9152.09</v>
      </c>
      <c r="E54" s="1"/>
      <c r="F54" s="5">
        <f t="shared" si="29"/>
        <v>0</v>
      </c>
      <c r="G54" s="1"/>
      <c r="H54" s="1">
        <f>SUM(OSRRefH22_5x_0)</f>
        <v>8563</v>
      </c>
      <c r="I54" s="1"/>
      <c r="J54" s="5">
        <f t="shared" si="30"/>
        <v>0.22221357207733231</v>
      </c>
      <c r="K54" s="1"/>
      <c r="L54" s="1">
        <f t="shared" si="31"/>
        <v>589.09000000000015</v>
      </c>
      <c r="M54" s="1"/>
      <c r="N54" s="5">
        <f t="shared" si="32"/>
        <v>6.8794814901319654E-2</v>
      </c>
      <c r="O54" s="14"/>
      <c r="P54" s="1">
        <f>SUM(OSRRefP22_5x_0)</f>
        <v>45941.73</v>
      </c>
      <c r="Q54" s="1"/>
      <c r="R54" s="5">
        <f t="shared" si="33"/>
        <v>17.762328579105883</v>
      </c>
      <c r="S54" s="1"/>
      <c r="T54" s="1">
        <f>SUM(OSRRefT22_5x_0)</f>
        <v>43263</v>
      </c>
      <c r="U54" s="1"/>
      <c r="V54" s="5">
        <f t="shared" si="34"/>
        <v>0.26861918451231553</v>
      </c>
      <c r="W54" s="1"/>
      <c r="X54" s="1">
        <f t="shared" si="35"/>
        <v>2678.7300000000032</v>
      </c>
      <c r="Y54" s="1"/>
      <c r="Z54" s="5">
        <f t="shared" si="36"/>
        <v>6.191734276402476E-2</v>
      </c>
    </row>
    <row r="55" spans="1:26" s="24" customFormat="1" hidden="1" outlineLevel="2" x14ac:dyDescent="0.25">
      <c r="A55" s="28"/>
      <c r="B55" s="11" t="str">
        <f>CONCATENATE("          ", "6321", " - ", "BUILDING DEPRECIATION")</f>
        <v xml:space="preserve">          6321 - BUILDING DEPRECIATION</v>
      </c>
      <c r="C55" s="11"/>
      <c r="D55" s="6">
        <v>5080.51</v>
      </c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5080.51</v>
      </c>
      <c r="M55" s="2"/>
      <c r="N55" s="7">
        <f t="shared" si="32"/>
        <v>0</v>
      </c>
      <c r="O55" s="11"/>
      <c r="P55" s="6">
        <v>25402.550000000003</v>
      </c>
      <c r="Q55" s="2"/>
      <c r="R55" s="7">
        <f t="shared" si="33"/>
        <v>9.8213201776939236</v>
      </c>
      <c r="S55" s="2"/>
      <c r="T55" s="6"/>
      <c r="U55" s="2"/>
      <c r="V55" s="7">
        <f t="shared" si="34"/>
        <v>0</v>
      </c>
      <c r="W55" s="2"/>
      <c r="X55" s="6">
        <f t="shared" si="35"/>
        <v>25402.550000000003</v>
      </c>
      <c r="Y55" s="2"/>
      <c r="Z55" s="7">
        <f t="shared" si="36"/>
        <v>0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4071.58</v>
      </c>
      <c r="E56" s="2"/>
      <c r="F56" s="7">
        <f t="shared" si="29"/>
        <v>0</v>
      </c>
      <c r="G56" s="2"/>
      <c r="H56" s="6">
        <v>8563</v>
      </c>
      <c r="I56" s="2"/>
      <c r="J56" s="7">
        <f t="shared" si="30"/>
        <v>0.22221357207733231</v>
      </c>
      <c r="K56" s="2"/>
      <c r="L56" s="6">
        <f t="shared" si="31"/>
        <v>-4491.42</v>
      </c>
      <c r="M56" s="2"/>
      <c r="N56" s="7">
        <f t="shared" si="32"/>
        <v>-0.52451477285997894</v>
      </c>
      <c r="O56" s="11"/>
      <c r="P56" s="6">
        <v>20539.18</v>
      </c>
      <c r="Q56" s="2"/>
      <c r="R56" s="7">
        <f t="shared" si="33"/>
        <v>7.9410084014119624</v>
      </c>
      <c r="S56" s="2"/>
      <c r="T56" s="6">
        <v>43263</v>
      </c>
      <c r="U56" s="2"/>
      <c r="V56" s="7">
        <f t="shared" si="34"/>
        <v>0.26861918451231553</v>
      </c>
      <c r="W56" s="2"/>
      <c r="X56" s="6">
        <f t="shared" si="35"/>
        <v>-22723.82</v>
      </c>
      <c r="Y56" s="2"/>
      <c r="Z56" s="7">
        <f t="shared" si="36"/>
        <v>-0.52524836465339897</v>
      </c>
    </row>
    <row r="57" spans="1:26" s="29" customFormat="1" outlineLevel="1" collapsed="1" x14ac:dyDescent="0.2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SUM(OSRRefD22_6x_0)</f>
        <v>0</v>
      </c>
      <c r="E57" s="1"/>
      <c r="F57" s="5">
        <f t="shared" ref="F57:F73" si="37">IF(D$12=0,0,D57/D$12)</f>
        <v>0</v>
      </c>
      <c r="G57" s="1"/>
      <c r="H57" s="1">
        <f>SUM(OSRRefH22_6x_0)</f>
        <v>146</v>
      </c>
      <c r="I57" s="1"/>
      <c r="J57" s="5">
        <f t="shared" ref="J57:J73" si="38">IF(H$12=0,0,H57/H$12)</f>
        <v>3.7887634617879851E-3</v>
      </c>
      <c r="K57" s="1"/>
      <c r="L57" s="1">
        <f t="shared" ref="L57:L73" si="39">+D57-H57</f>
        <v>-146</v>
      </c>
      <c r="M57" s="1"/>
      <c r="N57" s="5">
        <f t="shared" ref="N57:N73" si="40">IF(H57=0,0,L57/H57)</f>
        <v>-1</v>
      </c>
      <c r="O57" s="14"/>
      <c r="P57" s="1">
        <f>SUM(OSRRefP22_6x_0)</f>
        <v>0</v>
      </c>
      <c r="Q57" s="1"/>
      <c r="R57" s="5">
        <f t="shared" ref="R57:R73" si="41">IF(P$12=0,0,P57/P$12)</f>
        <v>0</v>
      </c>
      <c r="S57" s="1"/>
      <c r="T57" s="1">
        <f>SUM(OSRRefT22_6x_0)</f>
        <v>292</v>
      </c>
      <c r="U57" s="1"/>
      <c r="V57" s="5">
        <f t="shared" ref="V57:V73" si="42">IF(T$12=0,0,T57/T$12)</f>
        <v>1.8130227186648204E-3</v>
      </c>
      <c r="W57" s="1"/>
      <c r="X57" s="1">
        <f t="shared" ref="X57:X73" si="43">+P57-T57</f>
        <v>-292</v>
      </c>
      <c r="Y57" s="1"/>
      <c r="Z57" s="5">
        <f t="shared" ref="Z57:Z73" si="44">IF(T57=0,0,X57/T57)</f>
        <v>-1</v>
      </c>
    </row>
    <row r="58" spans="1:26" s="24" customFormat="1" hidden="1" outlineLevel="2" x14ac:dyDescent="0.25">
      <c r="A58" s="28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7"/>
        <v>0</v>
      </c>
      <c r="G58" s="2"/>
      <c r="H58" s="6">
        <v>146</v>
      </c>
      <c r="I58" s="2"/>
      <c r="J58" s="7">
        <f t="shared" si="38"/>
        <v>3.7887634617879851E-3</v>
      </c>
      <c r="K58" s="2"/>
      <c r="L58" s="6">
        <f t="shared" si="39"/>
        <v>-146</v>
      </c>
      <c r="M58" s="2"/>
      <c r="N58" s="7">
        <f t="shared" si="40"/>
        <v>-1</v>
      </c>
      <c r="O58" s="11"/>
      <c r="P58" s="6"/>
      <c r="Q58" s="2"/>
      <c r="R58" s="7">
        <f t="shared" si="41"/>
        <v>0</v>
      </c>
      <c r="S58" s="2"/>
      <c r="T58" s="6">
        <v>292</v>
      </c>
      <c r="U58" s="2"/>
      <c r="V58" s="7">
        <f t="shared" si="42"/>
        <v>1.8130227186648204E-3</v>
      </c>
      <c r="W58" s="2"/>
      <c r="X58" s="6">
        <f t="shared" si="43"/>
        <v>-292</v>
      </c>
      <c r="Y58" s="2"/>
      <c r="Z58" s="7">
        <f t="shared" si="44"/>
        <v>-1</v>
      </c>
    </row>
    <row r="59" spans="1:26" s="29" customFormat="1" outlineLevel="1" collapsed="1" x14ac:dyDescent="0.2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SUM(OSRRefD22_7x_0)</f>
        <v>9.9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9.9</v>
      </c>
      <c r="M59" s="1"/>
      <c r="N59" s="5">
        <f t="shared" si="40"/>
        <v>0</v>
      </c>
      <c r="O59" s="14"/>
      <c r="P59" s="1">
        <f>SUM(OSRRefP22_7x_0)</f>
        <v>105.33</v>
      </c>
      <c r="Q59" s="1"/>
      <c r="R59" s="5">
        <f t="shared" si="41"/>
        <v>4.0723457066967714E-2</v>
      </c>
      <c r="S59" s="1"/>
      <c r="T59" s="1">
        <f>SUM(OSRRefT22_7x_0)</f>
        <v>0</v>
      </c>
      <c r="U59" s="1"/>
      <c r="V59" s="5">
        <f t="shared" si="42"/>
        <v>0</v>
      </c>
      <c r="W59" s="1"/>
      <c r="X59" s="1">
        <f t="shared" si="43"/>
        <v>105.33</v>
      </c>
      <c r="Y59" s="1"/>
      <c r="Z59" s="5">
        <f t="shared" si="44"/>
        <v>0</v>
      </c>
    </row>
    <row r="60" spans="1:26" s="24" customFormat="1" hidden="1" outlineLevel="2" x14ac:dyDescent="0.25">
      <c r="A60" s="28"/>
      <c r="B60" s="11" t="str">
        <f>CONCATENATE("          ", "6305", " - ", "FREIGHT OUT")</f>
        <v xml:space="preserve">          6305 - FREIGHT OUT</v>
      </c>
      <c r="C60" s="11"/>
      <c r="D60" s="6">
        <v>9.9</v>
      </c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9.9</v>
      </c>
      <c r="M60" s="2"/>
      <c r="N60" s="7">
        <f t="shared" si="40"/>
        <v>0</v>
      </c>
      <c r="O60" s="11"/>
      <c r="P60" s="6">
        <v>105.33</v>
      </c>
      <c r="Q60" s="2"/>
      <c r="R60" s="7">
        <f t="shared" si="41"/>
        <v>4.0723457066967714E-2</v>
      </c>
      <c r="S60" s="2"/>
      <c r="T60" s="6"/>
      <c r="U60" s="2"/>
      <c r="V60" s="7">
        <f t="shared" si="42"/>
        <v>0</v>
      </c>
      <c r="W60" s="2"/>
      <c r="X60" s="6">
        <f t="shared" si="43"/>
        <v>105.33</v>
      </c>
      <c r="Y60" s="2"/>
      <c r="Z60" s="7">
        <f t="shared" si="44"/>
        <v>0</v>
      </c>
    </row>
    <row r="61" spans="1:26" s="29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415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415</v>
      </c>
      <c r="M61" s="1"/>
      <c r="N61" s="5">
        <f t="shared" si="40"/>
        <v>0</v>
      </c>
      <c r="O61" s="14"/>
      <c r="P61" s="1">
        <f>SUM(OSRRefP22_8x_0)</f>
        <v>1924.1</v>
      </c>
      <c r="Q61" s="1"/>
      <c r="R61" s="5">
        <f t="shared" si="41"/>
        <v>0.74390965292464239</v>
      </c>
      <c r="S61" s="1"/>
      <c r="T61" s="1">
        <f>SUM(OSRRefT22_8x_0)</f>
        <v>3150</v>
      </c>
      <c r="U61" s="1"/>
      <c r="V61" s="5">
        <f t="shared" si="42"/>
        <v>1.9558293026692413E-2</v>
      </c>
      <c r="W61" s="1"/>
      <c r="X61" s="1">
        <f t="shared" si="43"/>
        <v>-1225.9000000000001</v>
      </c>
      <c r="Y61" s="1"/>
      <c r="Z61" s="5">
        <f t="shared" si="44"/>
        <v>-0.38917460317460323</v>
      </c>
    </row>
    <row r="62" spans="1:26" s="24" customFormat="1" hidden="1" outlineLevel="2" x14ac:dyDescent="0.25">
      <c r="A62" s="28"/>
      <c r="B62" s="11" t="str">
        <f>CONCATENATE("          ", "6279", " - ", "GENERAL EXPENSE")</f>
        <v xml:space="preserve">          6279 - GENERAL EXPENSE</v>
      </c>
      <c r="C62" s="11"/>
      <c r="D62" s="6">
        <v>415</v>
      </c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415</v>
      </c>
      <c r="M62" s="2"/>
      <c r="N62" s="7">
        <f t="shared" si="40"/>
        <v>0</v>
      </c>
      <c r="O62" s="11"/>
      <c r="P62" s="6">
        <v>1924.1</v>
      </c>
      <c r="Q62" s="2"/>
      <c r="R62" s="7">
        <f t="shared" si="41"/>
        <v>0.74390965292464239</v>
      </c>
      <c r="S62" s="2"/>
      <c r="T62" s="6">
        <v>3150</v>
      </c>
      <c r="U62" s="2"/>
      <c r="V62" s="7">
        <f t="shared" si="42"/>
        <v>1.9558293026692413E-2</v>
      </c>
      <c r="W62" s="2"/>
      <c r="X62" s="6">
        <f t="shared" si="43"/>
        <v>-1225.9000000000001</v>
      </c>
      <c r="Y62" s="2"/>
      <c r="Z62" s="7">
        <f t="shared" si="44"/>
        <v>-0.38917460317460323</v>
      </c>
    </row>
    <row r="63" spans="1:26" s="29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243.54</v>
      </c>
      <c r="E63" s="1"/>
      <c r="F63" s="5">
        <f t="shared" si="37"/>
        <v>0</v>
      </c>
      <c r="G63" s="1"/>
      <c r="H63" s="1">
        <f>SUM(OSRRefH22_9x_0)</f>
        <v>270</v>
      </c>
      <c r="I63" s="1"/>
      <c r="J63" s="5">
        <f t="shared" si="38"/>
        <v>7.0066173608407945E-3</v>
      </c>
      <c r="K63" s="1"/>
      <c r="L63" s="1">
        <f t="shared" si="39"/>
        <v>-26.460000000000008</v>
      </c>
      <c r="M63" s="1"/>
      <c r="N63" s="5">
        <f t="shared" si="40"/>
        <v>-9.8000000000000032E-2</v>
      </c>
      <c r="O63" s="14"/>
      <c r="P63" s="1">
        <f>SUM(OSRRefP22_9x_0)</f>
        <v>1217.7</v>
      </c>
      <c r="Q63" s="1"/>
      <c r="R63" s="5">
        <f t="shared" si="41"/>
        <v>0.4707961043429848</v>
      </c>
      <c r="S63" s="1"/>
      <c r="T63" s="1">
        <f>SUM(OSRRefT22_9x_0)</f>
        <v>1350</v>
      </c>
      <c r="U63" s="1"/>
      <c r="V63" s="5">
        <f t="shared" si="42"/>
        <v>8.3821255828681763E-3</v>
      </c>
      <c r="W63" s="1"/>
      <c r="X63" s="1">
        <f t="shared" si="43"/>
        <v>-132.29999999999995</v>
      </c>
      <c r="Y63" s="1"/>
      <c r="Z63" s="5">
        <f t="shared" si="44"/>
        <v>-9.7999999999999962E-2</v>
      </c>
    </row>
    <row r="64" spans="1:26" s="24" customFormat="1" hidden="1" outlineLevel="2" x14ac:dyDescent="0.25">
      <c r="A64" s="28"/>
      <c r="B64" s="11" t="str">
        <f>CONCATENATE("          ", "6314", " - ", "LIABILITY INSURANCE")</f>
        <v xml:space="preserve">          6314 - LIABILITY INSURANCE</v>
      </c>
      <c r="C64" s="11"/>
      <c r="D64" s="6">
        <v>243.54</v>
      </c>
      <c r="E64" s="2"/>
      <c r="F64" s="7">
        <f t="shared" si="37"/>
        <v>0</v>
      </c>
      <c r="G64" s="2"/>
      <c r="H64" s="6">
        <v>270</v>
      </c>
      <c r="I64" s="2"/>
      <c r="J64" s="7">
        <f t="shared" si="38"/>
        <v>7.0066173608407945E-3</v>
      </c>
      <c r="K64" s="2"/>
      <c r="L64" s="6">
        <f t="shared" si="39"/>
        <v>-26.460000000000008</v>
      </c>
      <c r="M64" s="2"/>
      <c r="N64" s="7">
        <f t="shared" si="40"/>
        <v>-9.8000000000000032E-2</v>
      </c>
      <c r="O64" s="11"/>
      <c r="P64" s="6">
        <v>1217.7</v>
      </c>
      <c r="Q64" s="2"/>
      <c r="R64" s="7">
        <f t="shared" si="41"/>
        <v>0.4707961043429848</v>
      </c>
      <c r="S64" s="2"/>
      <c r="T64" s="6">
        <v>1350</v>
      </c>
      <c r="U64" s="2"/>
      <c r="V64" s="7">
        <f t="shared" si="42"/>
        <v>8.3821255828681763E-3</v>
      </c>
      <c r="W64" s="2"/>
      <c r="X64" s="6">
        <f t="shared" si="43"/>
        <v>-132.29999999999995</v>
      </c>
      <c r="Y64" s="2"/>
      <c r="Z64" s="7">
        <f t="shared" si="44"/>
        <v>-9.7999999999999962E-2</v>
      </c>
    </row>
    <row r="65" spans="1:26" s="29" customFormat="1" outlineLevel="1" collapsed="1" x14ac:dyDescent="0.25">
      <c r="A65" s="27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4044</v>
      </c>
      <c r="E65" s="1"/>
      <c r="F65" s="5">
        <f t="shared" si="37"/>
        <v>0</v>
      </c>
      <c r="G65" s="1"/>
      <c r="H65" s="1">
        <f>SUM(OSRRefH22_10x_0)</f>
        <v>4044</v>
      </c>
      <c r="I65" s="1"/>
      <c r="J65" s="5">
        <f t="shared" si="38"/>
        <v>0.10494355780459323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SUM(OSRRefP22_10x_0)</f>
        <v>19957.849999999999</v>
      </c>
      <c r="Q65" s="1"/>
      <c r="R65" s="5">
        <f t="shared" si="41"/>
        <v>7.7162503334660739</v>
      </c>
      <c r="S65" s="1"/>
      <c r="T65" s="1">
        <f>SUM(OSRRefT22_10x_0)</f>
        <v>20220</v>
      </c>
      <c r="U65" s="1"/>
      <c r="V65" s="5">
        <f t="shared" si="42"/>
        <v>0.12554561428562558</v>
      </c>
      <c r="W65" s="1"/>
      <c r="X65" s="1">
        <f t="shared" si="43"/>
        <v>-262.15000000000146</v>
      </c>
      <c r="Y65" s="1"/>
      <c r="Z65" s="5">
        <f t="shared" si="44"/>
        <v>-1.2964886251236471E-2</v>
      </c>
    </row>
    <row r="66" spans="1:26" s="24" customFormat="1" hidden="1" outlineLevel="2" x14ac:dyDescent="0.25">
      <c r="A66" s="28"/>
      <c r="B66" s="11" t="str">
        <f>CONCATENATE("          ", "6401", " - ", "INTEREST EXPENSE")</f>
        <v xml:space="preserve">          6401 - INTEREST EXPENSE</v>
      </c>
      <c r="C66" s="11"/>
      <c r="D66" s="6">
        <v>4044</v>
      </c>
      <c r="E66" s="2"/>
      <c r="F66" s="7">
        <f t="shared" si="37"/>
        <v>0</v>
      </c>
      <c r="G66" s="2"/>
      <c r="H66" s="6">
        <v>4044</v>
      </c>
      <c r="I66" s="2"/>
      <c r="J66" s="7">
        <f t="shared" si="38"/>
        <v>0.10494355780459323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19957.849999999999</v>
      </c>
      <c r="Q66" s="2"/>
      <c r="R66" s="7">
        <f t="shared" si="41"/>
        <v>7.7162503334660739</v>
      </c>
      <c r="S66" s="2"/>
      <c r="T66" s="6">
        <v>20220</v>
      </c>
      <c r="U66" s="2"/>
      <c r="V66" s="7">
        <f t="shared" si="42"/>
        <v>0.12554561428562558</v>
      </c>
      <c r="W66" s="2"/>
      <c r="X66" s="6">
        <f t="shared" si="43"/>
        <v>-262.15000000000146</v>
      </c>
      <c r="Y66" s="2"/>
      <c r="Z66" s="7">
        <f t="shared" si="44"/>
        <v>-1.2964886251236471E-2</v>
      </c>
    </row>
    <row r="67" spans="1:26" s="29" customFormat="1" outlineLevel="1" collapsed="1" x14ac:dyDescent="0.25">
      <c r="A67" s="27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0</v>
      </c>
      <c r="E67" s="1"/>
      <c r="F67" s="5">
        <f t="shared" si="37"/>
        <v>0</v>
      </c>
      <c r="G67" s="1"/>
      <c r="H67" s="1">
        <f>SUM(OSRRefH22_11x_0)</f>
        <v>0</v>
      </c>
      <c r="I67" s="1"/>
      <c r="J67" s="5">
        <f t="shared" si="38"/>
        <v>0</v>
      </c>
      <c r="K67" s="1"/>
      <c r="L67" s="1">
        <f t="shared" si="39"/>
        <v>0</v>
      </c>
      <c r="M67" s="1"/>
      <c r="N67" s="5">
        <f t="shared" si="40"/>
        <v>0</v>
      </c>
      <c r="O67" s="14"/>
      <c r="P67" s="1">
        <f>SUM(OSRRefP22_11x_0)</f>
        <v>0</v>
      </c>
      <c r="Q67" s="1"/>
      <c r="R67" s="5">
        <f t="shared" si="41"/>
        <v>0</v>
      </c>
      <c r="S67" s="1"/>
      <c r="T67" s="1">
        <f>SUM(OSRRefT22_11x_0)</f>
        <v>0</v>
      </c>
      <c r="U67" s="1"/>
      <c r="V67" s="5">
        <f t="shared" si="42"/>
        <v>0</v>
      </c>
      <c r="W67" s="1"/>
      <c r="X67" s="1">
        <f t="shared" si="43"/>
        <v>0</v>
      </c>
      <c r="Y67" s="1"/>
      <c r="Z67" s="5">
        <f t="shared" si="44"/>
        <v>0</v>
      </c>
    </row>
    <row r="68" spans="1:26" s="24" customFormat="1" hidden="1" outlineLevel="2" x14ac:dyDescent="0.25">
      <c r="A68" s="28"/>
      <c r="B68" s="11" t="str">
        <f>CONCATENATE("          ", "6273", " - ", "RENT")</f>
        <v xml:space="preserve">          6273 - RENT</v>
      </c>
      <c r="C68" s="11"/>
      <c r="D68" s="6"/>
      <c r="E68" s="2"/>
      <c r="F68" s="7">
        <f t="shared" si="37"/>
        <v>0</v>
      </c>
      <c r="G68" s="2"/>
      <c r="H68" s="6">
        <v>0</v>
      </c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/>
      <c r="Q68" s="2"/>
      <c r="R68" s="7">
        <f t="shared" si="41"/>
        <v>0</v>
      </c>
      <c r="S68" s="2"/>
      <c r="T68" s="6">
        <v>0</v>
      </c>
      <c r="U68" s="2"/>
      <c r="V68" s="7">
        <f t="shared" si="42"/>
        <v>0</v>
      </c>
      <c r="W68" s="2"/>
      <c r="X68" s="6">
        <f t="shared" si="43"/>
        <v>0</v>
      </c>
      <c r="Y68" s="2"/>
      <c r="Z68" s="7">
        <f t="shared" si="44"/>
        <v>0</v>
      </c>
    </row>
    <row r="69" spans="1:26" s="29" customFormat="1" outlineLevel="1" collapsed="1" x14ac:dyDescent="0.25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881.67</v>
      </c>
      <c r="E69" s="1"/>
      <c r="F69" s="5">
        <f t="shared" si="37"/>
        <v>0</v>
      </c>
      <c r="G69" s="1"/>
      <c r="H69" s="1">
        <f>SUM(OSRRefH22_12x_0)</f>
        <v>285</v>
      </c>
      <c r="I69" s="1"/>
      <c r="J69" s="5">
        <f t="shared" si="38"/>
        <v>7.3958738808875052E-3</v>
      </c>
      <c r="K69" s="1"/>
      <c r="L69" s="1">
        <f t="shared" si="39"/>
        <v>596.66999999999996</v>
      </c>
      <c r="M69" s="1"/>
      <c r="N69" s="5">
        <f t="shared" si="40"/>
        <v>2.093578947368421</v>
      </c>
      <c r="O69" s="14"/>
      <c r="P69" s="1">
        <f>SUM(OSRRefP22_12x_0)</f>
        <v>1990.4</v>
      </c>
      <c r="Q69" s="1"/>
      <c r="R69" s="5">
        <f t="shared" si="41"/>
        <v>0.76954304515420624</v>
      </c>
      <c r="S69" s="1"/>
      <c r="T69" s="1">
        <f>SUM(OSRRefT22_12x_0)</f>
        <v>1882</v>
      </c>
      <c r="U69" s="1"/>
      <c r="V69" s="5">
        <f t="shared" si="42"/>
        <v>1.1685303960709563E-2</v>
      </c>
      <c r="W69" s="1"/>
      <c r="X69" s="1">
        <f t="shared" si="43"/>
        <v>108.40000000000009</v>
      </c>
      <c r="Y69" s="1"/>
      <c r="Z69" s="5">
        <f t="shared" si="44"/>
        <v>5.7598299681190269E-2</v>
      </c>
    </row>
    <row r="70" spans="1:26" s="24" customFormat="1" hidden="1" outlineLevel="2" x14ac:dyDescent="0.25">
      <c r="A70" s="28"/>
      <c r="B70" s="11" t="str">
        <f>CONCATENATE("          ", "6371", " - ", "COMPUTER SOFTWARE MAINTENANCE")</f>
        <v xml:space="preserve">          6371 - COMPUTER SOFTWARE MAINTENANCE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/>
      <c r="Q70" s="2"/>
      <c r="R70" s="7">
        <f t="shared" si="41"/>
        <v>0</v>
      </c>
      <c r="S70" s="2"/>
      <c r="T70" s="6">
        <v>43</v>
      </c>
      <c r="U70" s="2"/>
      <c r="V70" s="7">
        <f t="shared" si="42"/>
        <v>2.6698622226913456E-4</v>
      </c>
      <c r="W70" s="2"/>
      <c r="X70" s="6">
        <f t="shared" si="43"/>
        <v>-43</v>
      </c>
      <c r="Y70" s="2"/>
      <c r="Z70" s="7">
        <f t="shared" si="44"/>
        <v>-1</v>
      </c>
    </row>
    <row r="71" spans="1:26" s="24" customFormat="1" hidden="1" outlineLevel="2" x14ac:dyDescent="0.25">
      <c r="A71" s="28"/>
      <c r="B71" s="11" t="str">
        <f>CONCATENATE("          ", "6372", " - ", "COMPUTER HARDWARE MAINTENANCE")</f>
        <v xml:space="preserve">          6372 - COMPUTER HARDWARE MAINTENANCE</v>
      </c>
      <c r="C71" s="11"/>
      <c r="D71" s="6"/>
      <c r="E71" s="2"/>
      <c r="F71" s="7">
        <f t="shared" si="37"/>
        <v>0</v>
      </c>
      <c r="G71" s="2"/>
      <c r="H71" s="6"/>
      <c r="I71" s="2"/>
      <c r="J71" s="7">
        <f t="shared" si="38"/>
        <v>0</v>
      </c>
      <c r="K71" s="2"/>
      <c r="L71" s="6">
        <f t="shared" si="39"/>
        <v>0</v>
      </c>
      <c r="M71" s="2"/>
      <c r="N71" s="7">
        <f t="shared" si="40"/>
        <v>0</v>
      </c>
      <c r="O71" s="11"/>
      <c r="P71" s="6"/>
      <c r="Q71" s="2"/>
      <c r="R71" s="7">
        <f t="shared" si="41"/>
        <v>0</v>
      </c>
      <c r="S71" s="2"/>
      <c r="T71" s="6">
        <v>437</v>
      </c>
      <c r="U71" s="2"/>
      <c r="V71" s="7">
        <f t="shared" si="42"/>
        <v>2.7133250960839953E-3</v>
      </c>
      <c r="W71" s="2"/>
      <c r="X71" s="6">
        <f t="shared" si="43"/>
        <v>-437</v>
      </c>
      <c r="Y71" s="2"/>
      <c r="Z71" s="7">
        <f t="shared" si="44"/>
        <v>-1</v>
      </c>
    </row>
    <row r="72" spans="1:26" s="24" customFormat="1" hidden="1" outlineLevel="2" x14ac:dyDescent="0.25">
      <c r="A72" s="28"/>
      <c r="B72" s="11" t="str">
        <f>CONCATENATE("          ", "6373", " - ", "MAINTENANCE CONTRACTS")</f>
        <v xml:space="preserve">          6373 - MAINTENANCE CONTRACTS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655.15</v>
      </c>
      <c r="Q72" s="2"/>
      <c r="R72" s="7">
        <f t="shared" si="41"/>
        <v>0.25329889772547137</v>
      </c>
      <c r="S72" s="2"/>
      <c r="T72" s="6">
        <v>103</v>
      </c>
      <c r="U72" s="2"/>
      <c r="V72" s="7">
        <f t="shared" si="42"/>
        <v>6.3952513706327571E-4</v>
      </c>
      <c r="W72" s="2"/>
      <c r="X72" s="6">
        <f t="shared" si="43"/>
        <v>552.15</v>
      </c>
      <c r="Y72" s="2"/>
      <c r="Z72" s="7">
        <f t="shared" si="44"/>
        <v>5.3606796116504851</v>
      </c>
    </row>
    <row r="73" spans="1:26" s="24" customFormat="1" hidden="1" outlineLevel="2" x14ac:dyDescent="0.25">
      <c r="A73" s="28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881.67</v>
      </c>
      <c r="E73" s="2"/>
      <c r="F73" s="7">
        <f t="shared" si="37"/>
        <v>0</v>
      </c>
      <c r="G73" s="2"/>
      <c r="H73" s="6">
        <v>285</v>
      </c>
      <c r="I73" s="2"/>
      <c r="J73" s="7">
        <f t="shared" si="38"/>
        <v>7.3958738808875052E-3</v>
      </c>
      <c r="K73" s="2"/>
      <c r="L73" s="6">
        <f t="shared" si="39"/>
        <v>596.66999999999996</v>
      </c>
      <c r="M73" s="2"/>
      <c r="N73" s="7">
        <f t="shared" si="40"/>
        <v>2.093578947368421</v>
      </c>
      <c r="O73" s="11"/>
      <c r="P73" s="6">
        <v>1335.25</v>
      </c>
      <c r="Q73" s="2"/>
      <c r="R73" s="7">
        <f t="shared" si="41"/>
        <v>0.51624414742873481</v>
      </c>
      <c r="S73" s="2"/>
      <c r="T73" s="6">
        <v>1299</v>
      </c>
      <c r="U73" s="2"/>
      <c r="V73" s="7">
        <f t="shared" si="42"/>
        <v>8.0654675052931578E-3</v>
      </c>
      <c r="W73" s="2"/>
      <c r="X73" s="6">
        <f t="shared" si="43"/>
        <v>36.25</v>
      </c>
      <c r="Y73" s="2"/>
      <c r="Z73" s="7">
        <f t="shared" si="44"/>
        <v>2.7906081601231716E-2</v>
      </c>
    </row>
    <row r="74" spans="1:26" s="29" customFormat="1" outlineLevel="1" collapsed="1" x14ac:dyDescent="0.25">
      <c r="A74" s="27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0</v>
      </c>
      <c r="E74" s="1"/>
      <c r="F74" s="5">
        <f t="shared" ref="F74:F76" si="45">IF(D$12=0,0,D74/D$12)</f>
        <v>0</v>
      </c>
      <c r="G74" s="1"/>
      <c r="H74" s="1">
        <f>SUM(OSRRefH22_13x_0)</f>
        <v>630</v>
      </c>
      <c r="I74" s="1"/>
      <c r="J74" s="5">
        <f t="shared" ref="J74:J76" si="46">IF(H$12=0,0,H74/H$12)</f>
        <v>1.6348773841961851E-2</v>
      </c>
      <c r="K74" s="1"/>
      <c r="L74" s="1">
        <f t="shared" ref="L74:L76" si="47">+D74-H74</f>
        <v>-630</v>
      </c>
      <c r="M74" s="1"/>
      <c r="N74" s="5">
        <f t="shared" ref="N74:N76" si="48">IF(H74=0,0,L74/H74)</f>
        <v>-1</v>
      </c>
      <c r="O74" s="14"/>
      <c r="P74" s="1">
        <f>SUM(OSRRefP22_13x_0)</f>
        <v>185.7</v>
      </c>
      <c r="Q74" s="1"/>
      <c r="R74" s="5">
        <f t="shared" ref="R74:R76" si="49">IF(P$12=0,0,P74/P$12)</f>
        <v>7.1796695882805517E-2</v>
      </c>
      <c r="S74" s="1"/>
      <c r="T74" s="1">
        <f>SUM(OSRRefT22_13x_0)</f>
        <v>2725</v>
      </c>
      <c r="U74" s="1"/>
      <c r="V74" s="5">
        <f t="shared" ref="V74:V76" si="50">IF(T$12=0,0,T74/T$12)</f>
        <v>1.6919475713567247E-2</v>
      </c>
      <c r="W74" s="1"/>
      <c r="X74" s="1">
        <f t="shared" ref="X74:X76" si="51">+P74-T74</f>
        <v>-2539.3000000000002</v>
      </c>
      <c r="Y74" s="1"/>
      <c r="Z74" s="5">
        <f t="shared" ref="Z74:Z76" si="52">IF(T74=0,0,X74/T74)</f>
        <v>-0.9318532110091744</v>
      </c>
    </row>
    <row r="75" spans="1:26" s="24" customFormat="1" hidden="1" outlineLevel="2" x14ac:dyDescent="0.25">
      <c r="A75" s="28"/>
      <c r="B75" s="11" t="str">
        <f>CONCATENATE("          ", "6254", " - ", "ROYALTY &amp; COMMISSIONS")</f>
        <v xml:space="preserve">          6254 - ROYALTY &amp; COMMISSIONS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185.7</v>
      </c>
      <c r="Q75" s="2"/>
      <c r="R75" s="7">
        <f t="shared" si="49"/>
        <v>7.1796695882805517E-2</v>
      </c>
      <c r="S75" s="2"/>
      <c r="T75" s="6"/>
      <c r="U75" s="2"/>
      <c r="V75" s="7">
        <f t="shared" si="50"/>
        <v>0</v>
      </c>
      <c r="W75" s="2"/>
      <c r="X75" s="6">
        <f t="shared" si="51"/>
        <v>185.7</v>
      </c>
      <c r="Y75" s="2"/>
      <c r="Z75" s="7">
        <f t="shared" si="52"/>
        <v>0</v>
      </c>
    </row>
    <row r="76" spans="1:26" s="24" customFormat="1" hidden="1" outlineLevel="2" x14ac:dyDescent="0.25">
      <c r="A76" s="28"/>
      <c r="B76" s="11" t="str">
        <f>CONCATENATE("          ", "6259", " - ", "ROYALTY &amp; COMMISSIONS")</f>
        <v xml:space="preserve">          6259 - ROYALTY &amp; COMMISSIONS</v>
      </c>
      <c r="C76" s="11"/>
      <c r="D76" s="6"/>
      <c r="E76" s="2"/>
      <c r="F76" s="7">
        <f t="shared" si="45"/>
        <v>0</v>
      </c>
      <c r="G76" s="2"/>
      <c r="H76" s="6">
        <v>630</v>
      </c>
      <c r="I76" s="2"/>
      <c r="J76" s="7">
        <f t="shared" si="46"/>
        <v>1.6348773841961851E-2</v>
      </c>
      <c r="K76" s="2"/>
      <c r="L76" s="6">
        <f t="shared" si="47"/>
        <v>-630</v>
      </c>
      <c r="M76" s="2"/>
      <c r="N76" s="7">
        <f t="shared" si="48"/>
        <v>-1</v>
      </c>
      <c r="O76" s="11"/>
      <c r="P76" s="6"/>
      <c r="Q76" s="2"/>
      <c r="R76" s="7">
        <f t="shared" si="49"/>
        <v>0</v>
      </c>
      <c r="S76" s="2"/>
      <c r="T76" s="6">
        <v>2725</v>
      </c>
      <c r="U76" s="2"/>
      <c r="V76" s="7">
        <f t="shared" si="50"/>
        <v>1.6919475713567247E-2</v>
      </c>
      <c r="W76" s="2"/>
      <c r="X76" s="6">
        <f t="shared" si="51"/>
        <v>-2725</v>
      </c>
      <c r="Y76" s="2"/>
      <c r="Z76" s="7">
        <f t="shared" si="52"/>
        <v>-1</v>
      </c>
    </row>
    <row r="77" spans="1:26" s="29" customFormat="1" outlineLevel="1" collapsed="1" x14ac:dyDescent="0.25">
      <c r="A77" s="27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330</v>
      </c>
      <c r="E77" s="1"/>
      <c r="F77" s="5">
        <f t="shared" ref="F77:F81" si="53">IF(D$12=0,0,D77/D$12)</f>
        <v>0</v>
      </c>
      <c r="G77" s="1"/>
      <c r="H77" s="1">
        <f>SUM(OSRRefH22_14x_0)</f>
        <v>791</v>
      </c>
      <c r="I77" s="1"/>
      <c r="J77" s="5">
        <f t="shared" ref="J77:J81" si="54">IF(H$12=0,0,H77/H$12)</f>
        <v>2.052679382379655E-2</v>
      </c>
      <c r="K77" s="1"/>
      <c r="L77" s="1">
        <f t="shared" ref="L77:L81" si="55">+D77-H77</f>
        <v>-461</v>
      </c>
      <c r="M77" s="1"/>
      <c r="N77" s="5">
        <f t="shared" ref="N77:N81" si="56">IF(H77=0,0,L77/H77)</f>
        <v>-0.5828065739570164</v>
      </c>
      <c r="O77" s="14"/>
      <c r="P77" s="1">
        <f>SUM(OSRRefP22_14x_0)</f>
        <v>-644.76</v>
      </c>
      <c r="Q77" s="1"/>
      <c r="R77" s="5">
        <f t="shared" ref="R77:R81" si="57">IF(P$12=0,0,P77/P$12)</f>
        <v>-0.24928183972750503</v>
      </c>
      <c r="S77" s="1"/>
      <c r="T77" s="1">
        <f>SUM(OSRRefT22_14x_0)</f>
        <v>3706</v>
      </c>
      <c r="U77" s="1"/>
      <c r="V77" s="5">
        <f t="shared" ref="V77:V81" si="58">IF(T$12=0,0,T77/T$12)</f>
        <v>2.3010486970451455E-2</v>
      </c>
      <c r="W77" s="1"/>
      <c r="X77" s="1">
        <f t="shared" ref="X77:X81" si="59">+P77-T77</f>
        <v>-4350.76</v>
      </c>
      <c r="Y77" s="1"/>
      <c r="Z77" s="5">
        <f t="shared" ref="Z77:Z81" si="60">IF(T77=0,0,X77/T77)</f>
        <v>-1.1739773340528872</v>
      </c>
    </row>
    <row r="78" spans="1:26" s="24" customFormat="1" hidden="1" outlineLevel="2" x14ac:dyDescent="0.25">
      <c r="A78" s="28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41</v>
      </c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41</v>
      </c>
      <c r="M78" s="2"/>
      <c r="N78" s="7">
        <f t="shared" si="56"/>
        <v>0</v>
      </c>
      <c r="O78" s="11"/>
      <c r="P78" s="6">
        <v>-129.16</v>
      </c>
      <c r="Q78" s="2"/>
      <c r="R78" s="7">
        <f t="shared" si="57"/>
        <v>-4.993678643092709E-2</v>
      </c>
      <c r="S78" s="2"/>
      <c r="T78" s="6">
        <v>314</v>
      </c>
      <c r="U78" s="2"/>
      <c r="V78" s="7">
        <f t="shared" si="58"/>
        <v>1.9496203207560057E-3</v>
      </c>
      <c r="W78" s="2"/>
      <c r="X78" s="6">
        <f t="shared" si="59"/>
        <v>-443.15999999999997</v>
      </c>
      <c r="Y78" s="2"/>
      <c r="Z78" s="7">
        <f t="shared" si="60"/>
        <v>-1.4113375796178342</v>
      </c>
    </row>
    <row r="79" spans="1:26" s="24" customFormat="1" hidden="1" outlineLevel="2" x14ac:dyDescent="0.25">
      <c r="A79" s="28"/>
      <c r="B79" s="11" t="str">
        <f>CONCATENATE("          ", "6284", " - ", "TRASH REMOVAL EXPENSE")</f>
        <v xml:space="preserve">          6284 - TRASH REMOVAL EXPENSE</v>
      </c>
      <c r="C79" s="11"/>
      <c r="D79" s="6">
        <v>289</v>
      </c>
      <c r="E79" s="2"/>
      <c r="F79" s="7">
        <f t="shared" si="53"/>
        <v>0</v>
      </c>
      <c r="G79" s="2"/>
      <c r="H79" s="6">
        <v>237</v>
      </c>
      <c r="I79" s="2"/>
      <c r="J79" s="7">
        <f t="shared" si="54"/>
        <v>6.1502530167380307E-3</v>
      </c>
      <c r="K79" s="2"/>
      <c r="L79" s="6">
        <f t="shared" si="55"/>
        <v>52</v>
      </c>
      <c r="M79" s="2"/>
      <c r="N79" s="7">
        <f t="shared" si="56"/>
        <v>0.21940928270042195</v>
      </c>
      <c r="O79" s="11"/>
      <c r="P79" s="6">
        <v>289</v>
      </c>
      <c r="Q79" s="2"/>
      <c r="R79" s="7">
        <f t="shared" si="57"/>
        <v>0.11173529946220137</v>
      </c>
      <c r="S79" s="2"/>
      <c r="T79" s="6">
        <v>948</v>
      </c>
      <c r="U79" s="2"/>
      <c r="V79" s="7">
        <f t="shared" si="58"/>
        <v>5.8861148537474308E-3</v>
      </c>
      <c r="W79" s="2"/>
      <c r="X79" s="6">
        <f t="shared" si="59"/>
        <v>-659</v>
      </c>
      <c r="Y79" s="2"/>
      <c r="Z79" s="7">
        <f t="shared" si="60"/>
        <v>-0.69514767932489452</v>
      </c>
    </row>
    <row r="80" spans="1:26" s="24" customFormat="1" hidden="1" outlineLevel="2" x14ac:dyDescent="0.25">
      <c r="A80" s="28"/>
      <c r="B80" s="11" t="str">
        <f>CONCATENATE("          ", "6285", " - ", "JANITORIAL SERVICES")</f>
        <v xml:space="preserve">          6285 - JANITORIAL SERVICES</v>
      </c>
      <c r="C80" s="11"/>
      <c r="D80" s="6"/>
      <c r="E80" s="2"/>
      <c r="F80" s="7">
        <f t="shared" si="53"/>
        <v>0</v>
      </c>
      <c r="G80" s="2"/>
      <c r="H80" s="6">
        <v>450</v>
      </c>
      <c r="I80" s="2"/>
      <c r="J80" s="7">
        <f t="shared" si="54"/>
        <v>1.1677695601401323E-2</v>
      </c>
      <c r="K80" s="2"/>
      <c r="L80" s="6">
        <f t="shared" si="55"/>
        <v>-450</v>
      </c>
      <c r="M80" s="2"/>
      <c r="N80" s="7">
        <f t="shared" si="56"/>
        <v>-1</v>
      </c>
      <c r="O80" s="11"/>
      <c r="P80" s="6">
        <v>-804.6</v>
      </c>
      <c r="Q80" s="2"/>
      <c r="R80" s="7">
        <f t="shared" si="57"/>
        <v>-0.31108035275877932</v>
      </c>
      <c r="S80" s="2"/>
      <c r="T80" s="6">
        <v>1963</v>
      </c>
      <c r="U80" s="2"/>
      <c r="V80" s="7">
        <f t="shared" si="58"/>
        <v>1.2188231495681653E-2</v>
      </c>
      <c r="W80" s="2"/>
      <c r="X80" s="6">
        <f t="shared" si="59"/>
        <v>-2767.6</v>
      </c>
      <c r="Y80" s="2"/>
      <c r="Z80" s="7">
        <f t="shared" si="60"/>
        <v>-1.4098828323993886</v>
      </c>
    </row>
    <row r="81" spans="1:26" s="24" customFormat="1" hidden="1" outlineLevel="2" x14ac:dyDescent="0.25">
      <c r="A81" s="28"/>
      <c r="B81" s="11" t="str">
        <f>CONCATENATE("          ", "6286", " - ", "LAUNDRY EXPENSE")</f>
        <v xml:space="preserve">          6286 - LAUNDRY EXPENSE</v>
      </c>
      <c r="C81" s="11"/>
      <c r="D81" s="6"/>
      <c r="E81" s="2"/>
      <c r="F81" s="7">
        <f t="shared" si="53"/>
        <v>0</v>
      </c>
      <c r="G81" s="2"/>
      <c r="H81" s="6">
        <v>104</v>
      </c>
      <c r="I81" s="2"/>
      <c r="J81" s="7">
        <f t="shared" si="54"/>
        <v>2.6988452056571949E-3</v>
      </c>
      <c r="K81" s="2"/>
      <c r="L81" s="6">
        <f t="shared" si="55"/>
        <v>-104</v>
      </c>
      <c r="M81" s="2"/>
      <c r="N81" s="7">
        <f t="shared" si="56"/>
        <v>-1</v>
      </c>
      <c r="O81" s="11"/>
      <c r="P81" s="6"/>
      <c r="Q81" s="2"/>
      <c r="R81" s="7">
        <f t="shared" si="57"/>
        <v>0</v>
      </c>
      <c r="S81" s="2"/>
      <c r="T81" s="6">
        <v>481</v>
      </c>
      <c r="U81" s="2"/>
      <c r="V81" s="7">
        <f t="shared" si="58"/>
        <v>2.9865203002663655E-3</v>
      </c>
      <c r="W81" s="2"/>
      <c r="X81" s="6">
        <f t="shared" si="59"/>
        <v>-481</v>
      </c>
      <c r="Y81" s="2"/>
      <c r="Z81" s="7">
        <f t="shared" si="60"/>
        <v>-1</v>
      </c>
    </row>
    <row r="82" spans="1:26" s="29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SUM(OSRRefD22_15x_0)</f>
        <v>0</v>
      </c>
      <c r="E82" s="1"/>
      <c r="F82" s="5">
        <f t="shared" ref="F82:F91" si="61">IF(D$12=0,0,D82/D$12)</f>
        <v>0</v>
      </c>
      <c r="G82" s="1"/>
      <c r="H82" s="1">
        <f>SUM(OSRRefH22_15x_0)</f>
        <v>176</v>
      </c>
      <c r="I82" s="1"/>
      <c r="J82" s="5">
        <f t="shared" ref="J82:J91" si="62">IF(H$12=0,0,H82/H$12)</f>
        <v>4.5672765018814065E-3</v>
      </c>
      <c r="K82" s="1"/>
      <c r="L82" s="1">
        <f t="shared" ref="L82:L91" si="63">+D82-H82</f>
        <v>-176</v>
      </c>
      <c r="M82" s="1"/>
      <c r="N82" s="5">
        <f t="shared" ref="N82:N91" si="64">IF(H82=0,0,L82/H82)</f>
        <v>-1</v>
      </c>
      <c r="O82" s="14"/>
      <c r="P82" s="1">
        <f>SUM(OSRRefP22_15x_0)</f>
        <v>0</v>
      </c>
      <c r="Q82" s="1"/>
      <c r="R82" s="5">
        <f t="shared" ref="R82:R91" si="65">IF(P$12=0,0,P82/P$12)</f>
        <v>0</v>
      </c>
      <c r="S82" s="1"/>
      <c r="T82" s="1">
        <f>SUM(OSRRefT22_15x_0)</f>
        <v>880</v>
      </c>
      <c r="U82" s="1"/>
      <c r="V82" s="5">
        <f t="shared" ref="V82:V91" si="66">IF(T$12=0,0,T82/T$12)</f>
        <v>5.4639040836474044E-3</v>
      </c>
      <c r="W82" s="1"/>
      <c r="X82" s="1">
        <f t="shared" ref="X82:X91" si="67">+P82-T82</f>
        <v>-880</v>
      </c>
      <c r="Y82" s="1"/>
      <c r="Z82" s="5">
        <f t="shared" ref="Z82:Z91" si="68">IF(T82=0,0,X82/T82)</f>
        <v>-1</v>
      </c>
    </row>
    <row r="83" spans="1:26" s="24" customFormat="1" hidden="1" outlineLevel="2" x14ac:dyDescent="0.25">
      <c r="A83" s="28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61"/>
        <v>0</v>
      </c>
      <c r="G83" s="2"/>
      <c r="H83" s="6">
        <v>176</v>
      </c>
      <c r="I83" s="2"/>
      <c r="J83" s="7">
        <f t="shared" si="62"/>
        <v>4.5672765018814065E-3</v>
      </c>
      <c r="K83" s="2"/>
      <c r="L83" s="6">
        <f t="shared" si="63"/>
        <v>-176</v>
      </c>
      <c r="M83" s="2"/>
      <c r="N83" s="7">
        <f t="shared" si="64"/>
        <v>-1</v>
      </c>
      <c r="O83" s="11"/>
      <c r="P83" s="6"/>
      <c r="Q83" s="2"/>
      <c r="R83" s="7">
        <f t="shared" si="65"/>
        <v>0</v>
      </c>
      <c r="S83" s="2"/>
      <c r="T83" s="6">
        <v>880</v>
      </c>
      <c r="U83" s="2"/>
      <c r="V83" s="7">
        <f t="shared" si="66"/>
        <v>5.4639040836474044E-3</v>
      </c>
      <c r="W83" s="2"/>
      <c r="X83" s="6">
        <f t="shared" si="67"/>
        <v>-880</v>
      </c>
      <c r="Y83" s="2"/>
      <c r="Z83" s="7">
        <f t="shared" si="68"/>
        <v>-1</v>
      </c>
    </row>
    <row r="84" spans="1:26" s="29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SUM(OSRRefD22_16x_0)</f>
        <v>0</v>
      </c>
      <c r="E84" s="1"/>
      <c r="F84" s="5">
        <f t="shared" si="61"/>
        <v>0</v>
      </c>
      <c r="G84" s="1"/>
      <c r="H84" s="1">
        <f>SUM(OSRRefH22_16x_0)</f>
        <v>1808</v>
      </c>
      <c r="I84" s="1"/>
      <c r="J84" s="5">
        <f t="shared" si="62"/>
        <v>4.6918385882963543E-2</v>
      </c>
      <c r="K84" s="1"/>
      <c r="L84" s="1">
        <f t="shared" si="63"/>
        <v>-1808</v>
      </c>
      <c r="M84" s="1"/>
      <c r="N84" s="5">
        <f t="shared" si="64"/>
        <v>-1</v>
      </c>
      <c r="O84" s="14"/>
      <c r="P84" s="1">
        <f>SUM(OSRRefP22_16x_0)</f>
        <v>1094.0899999999999</v>
      </c>
      <c r="Q84" s="1"/>
      <c r="R84" s="5">
        <f t="shared" si="65"/>
        <v>0.42300509961453248</v>
      </c>
      <c r="S84" s="1"/>
      <c r="T84" s="1">
        <f>SUM(OSRRefT22_16x_0)</f>
        <v>13826</v>
      </c>
      <c r="U84" s="1"/>
      <c r="V84" s="5">
        <f t="shared" si="66"/>
        <v>8.5845383932396602E-2</v>
      </c>
      <c r="W84" s="1"/>
      <c r="X84" s="1">
        <f t="shared" si="67"/>
        <v>-12731.91</v>
      </c>
      <c r="Y84" s="1"/>
      <c r="Z84" s="5">
        <f t="shared" si="68"/>
        <v>-0.92086720671199185</v>
      </c>
    </row>
    <row r="85" spans="1:26" s="24" customFormat="1" hidden="1" outlineLevel="2" x14ac:dyDescent="0.25">
      <c r="A85" s="28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61"/>
        <v>0</v>
      </c>
      <c r="G85" s="2"/>
      <c r="H85" s="6">
        <v>28</v>
      </c>
      <c r="I85" s="2"/>
      <c r="J85" s="7">
        <f t="shared" si="62"/>
        <v>7.2661217075386012E-4</v>
      </c>
      <c r="K85" s="2"/>
      <c r="L85" s="6">
        <f t="shared" si="63"/>
        <v>-28</v>
      </c>
      <c r="M85" s="2"/>
      <c r="N85" s="7">
        <f t="shared" si="64"/>
        <v>-1</v>
      </c>
      <c r="O85" s="11"/>
      <c r="P85" s="6">
        <v>316.67</v>
      </c>
      <c r="Q85" s="2"/>
      <c r="R85" s="7">
        <f t="shared" si="65"/>
        <v>0.12243327778787304</v>
      </c>
      <c r="S85" s="2"/>
      <c r="T85" s="6">
        <v>28</v>
      </c>
      <c r="U85" s="2"/>
      <c r="V85" s="7">
        <f t="shared" si="66"/>
        <v>1.7385149357059923E-4</v>
      </c>
      <c r="W85" s="2"/>
      <c r="X85" s="6">
        <f t="shared" si="67"/>
        <v>288.67</v>
      </c>
      <c r="Y85" s="2"/>
      <c r="Z85" s="7">
        <f t="shared" si="68"/>
        <v>10.309642857142858</v>
      </c>
    </row>
    <row r="86" spans="1:26" s="24" customFormat="1" hidden="1" outlineLevel="2" x14ac:dyDescent="0.25">
      <c r="A86" s="28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61"/>
        <v>0</v>
      </c>
      <c r="G86" s="2"/>
      <c r="H86" s="6">
        <v>400</v>
      </c>
      <c r="I86" s="2"/>
      <c r="J86" s="7">
        <f t="shared" si="62"/>
        <v>1.0380173867912288E-2</v>
      </c>
      <c r="K86" s="2"/>
      <c r="L86" s="6">
        <f t="shared" si="63"/>
        <v>-400</v>
      </c>
      <c r="M86" s="2"/>
      <c r="N86" s="7">
        <f t="shared" si="64"/>
        <v>-1</v>
      </c>
      <c r="O86" s="11"/>
      <c r="P86" s="6">
        <v>207.27</v>
      </c>
      <c r="Q86" s="2"/>
      <c r="R86" s="7">
        <f t="shared" si="65"/>
        <v>8.0136247472423802E-2</v>
      </c>
      <c r="S86" s="2"/>
      <c r="T86" s="6">
        <v>2500</v>
      </c>
      <c r="U86" s="2"/>
      <c r="V86" s="7">
        <f t="shared" si="66"/>
        <v>1.5522454783089217E-2</v>
      </c>
      <c r="W86" s="2"/>
      <c r="X86" s="6">
        <f t="shared" si="67"/>
        <v>-2292.73</v>
      </c>
      <c r="Y86" s="2"/>
      <c r="Z86" s="7">
        <f t="shared" si="68"/>
        <v>-0.91709200000000002</v>
      </c>
    </row>
    <row r="87" spans="1:26" s="24" customFormat="1" hidden="1" outlineLevel="2" x14ac:dyDescent="0.25">
      <c r="A87" s="28"/>
      <c r="B87" s="11" t="str">
        <f>CONCATENATE("          ", "6237", " - ", "JANITORIAL SUPPLIES")</f>
        <v xml:space="preserve">          6237 - JANITORIAL SUPPLIES</v>
      </c>
      <c r="C87" s="11"/>
      <c r="D87" s="6"/>
      <c r="E87" s="2"/>
      <c r="F87" s="7">
        <f t="shared" si="61"/>
        <v>0</v>
      </c>
      <c r="G87" s="2"/>
      <c r="H87" s="6">
        <v>16</v>
      </c>
      <c r="I87" s="2"/>
      <c r="J87" s="7">
        <f t="shared" si="62"/>
        <v>4.1520695471649151E-4</v>
      </c>
      <c r="K87" s="2"/>
      <c r="L87" s="6">
        <f t="shared" si="63"/>
        <v>-16</v>
      </c>
      <c r="M87" s="2"/>
      <c r="N87" s="7">
        <f t="shared" si="64"/>
        <v>-1</v>
      </c>
      <c r="O87" s="11"/>
      <c r="P87" s="6">
        <v>317.57</v>
      </c>
      <c r="Q87" s="2"/>
      <c r="R87" s="7">
        <f t="shared" si="65"/>
        <v>0.12278124238827436</v>
      </c>
      <c r="S87" s="2"/>
      <c r="T87" s="6">
        <v>254</v>
      </c>
      <c r="U87" s="2"/>
      <c r="V87" s="7">
        <f t="shared" si="66"/>
        <v>1.5770814059618645E-3</v>
      </c>
      <c r="W87" s="2"/>
      <c r="X87" s="6">
        <f t="shared" si="67"/>
        <v>63.569999999999993</v>
      </c>
      <c r="Y87" s="2"/>
      <c r="Z87" s="7">
        <f t="shared" si="68"/>
        <v>0.25027559055118109</v>
      </c>
    </row>
    <row r="88" spans="1:26" s="24" customFormat="1" hidden="1" outlineLevel="2" x14ac:dyDescent="0.25">
      <c r="A88" s="28"/>
      <c r="B88" s="11" t="str">
        <f>CONCATENATE("          ", "6241", " - ", "OFFICE EXPENSE")</f>
        <v xml:space="preserve">          6241 - OFFICE EXPENSE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131.30000000000001</v>
      </c>
      <c r="Q88" s="2"/>
      <c r="R88" s="7">
        <f t="shared" si="65"/>
        <v>5.0764168925214674E-2</v>
      </c>
      <c r="S88" s="2"/>
      <c r="T88" s="6"/>
      <c r="U88" s="2"/>
      <c r="V88" s="7">
        <f t="shared" si="66"/>
        <v>0</v>
      </c>
      <c r="W88" s="2"/>
      <c r="X88" s="6">
        <f t="shared" si="67"/>
        <v>131.30000000000001</v>
      </c>
      <c r="Y88" s="2"/>
      <c r="Z88" s="7">
        <f t="shared" si="68"/>
        <v>0</v>
      </c>
    </row>
    <row r="89" spans="1:26" s="24" customFormat="1" hidden="1" outlineLevel="2" x14ac:dyDescent="0.25">
      <c r="A89" s="28"/>
      <c r="B89" s="11" t="str">
        <f>CONCATENATE("          ", "6243", " - ", "PAPER SUPPLIES")</f>
        <v xml:space="preserve">          6243 - PAPER SUPPLIES</v>
      </c>
      <c r="C89" s="11"/>
      <c r="D89" s="6"/>
      <c r="E89" s="2"/>
      <c r="F89" s="7">
        <f t="shared" si="61"/>
        <v>0</v>
      </c>
      <c r="G89" s="2"/>
      <c r="H89" s="6">
        <v>246</v>
      </c>
      <c r="I89" s="2"/>
      <c r="J89" s="7">
        <f t="shared" si="62"/>
        <v>6.3838069287660568E-3</v>
      </c>
      <c r="K89" s="2"/>
      <c r="L89" s="6">
        <f t="shared" si="63"/>
        <v>-246</v>
      </c>
      <c r="M89" s="2"/>
      <c r="N89" s="7">
        <f t="shared" si="64"/>
        <v>-1</v>
      </c>
      <c r="O89" s="11"/>
      <c r="P89" s="6"/>
      <c r="Q89" s="2"/>
      <c r="R89" s="7">
        <f t="shared" si="65"/>
        <v>0</v>
      </c>
      <c r="S89" s="2"/>
      <c r="T89" s="6">
        <v>676</v>
      </c>
      <c r="U89" s="2"/>
      <c r="V89" s="7">
        <f t="shared" si="66"/>
        <v>4.1972717733473244E-3</v>
      </c>
      <c r="W89" s="2"/>
      <c r="X89" s="6">
        <f t="shared" si="67"/>
        <v>-676</v>
      </c>
      <c r="Y89" s="2"/>
      <c r="Z89" s="7">
        <f t="shared" si="68"/>
        <v>-1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61"/>
        <v>0</v>
      </c>
      <c r="G90" s="2"/>
      <c r="H90" s="6">
        <v>1118</v>
      </c>
      <c r="I90" s="2"/>
      <c r="J90" s="7">
        <f t="shared" si="62"/>
        <v>2.9012585960814845E-2</v>
      </c>
      <c r="K90" s="2"/>
      <c r="L90" s="6">
        <f t="shared" si="63"/>
        <v>-1118</v>
      </c>
      <c r="M90" s="2"/>
      <c r="N90" s="7">
        <f t="shared" si="64"/>
        <v>-1</v>
      </c>
      <c r="O90" s="11"/>
      <c r="P90" s="6">
        <v>121.28</v>
      </c>
      <c r="Q90" s="2"/>
      <c r="R90" s="7">
        <f t="shared" si="65"/>
        <v>4.6890163040746648E-2</v>
      </c>
      <c r="S90" s="2"/>
      <c r="T90" s="6">
        <v>10268</v>
      </c>
      <c r="U90" s="2"/>
      <c r="V90" s="7">
        <f t="shared" si="66"/>
        <v>6.3753826285104037E-2</v>
      </c>
      <c r="W90" s="2"/>
      <c r="X90" s="6">
        <f t="shared" si="67"/>
        <v>-10146.719999999999</v>
      </c>
      <c r="Y90" s="2"/>
      <c r="Z90" s="7">
        <f t="shared" si="68"/>
        <v>-0.98818854694195557</v>
      </c>
    </row>
    <row r="91" spans="1:26" s="24" customFormat="1" hidden="1" outlineLevel="2" x14ac:dyDescent="0.25">
      <c r="A91" s="28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61"/>
        <v>0</v>
      </c>
      <c r="G91" s="2"/>
      <c r="H91" s="6"/>
      <c r="I91" s="2"/>
      <c r="J91" s="7">
        <f t="shared" si="62"/>
        <v>0</v>
      </c>
      <c r="K91" s="2"/>
      <c r="L91" s="6">
        <f t="shared" si="63"/>
        <v>0</v>
      </c>
      <c r="M91" s="2"/>
      <c r="N91" s="7">
        <f t="shared" si="64"/>
        <v>0</v>
      </c>
      <c r="O91" s="11"/>
      <c r="P91" s="6"/>
      <c r="Q91" s="2"/>
      <c r="R91" s="7">
        <f t="shared" si="65"/>
        <v>0</v>
      </c>
      <c r="S91" s="2"/>
      <c r="T91" s="6">
        <v>100</v>
      </c>
      <c r="U91" s="2"/>
      <c r="V91" s="7">
        <f t="shared" si="66"/>
        <v>6.2089819132356869E-4</v>
      </c>
      <c r="W91" s="2"/>
      <c r="X91" s="6">
        <f t="shared" si="67"/>
        <v>-100</v>
      </c>
      <c r="Y91" s="2"/>
      <c r="Z91" s="7">
        <f t="shared" si="68"/>
        <v>-1</v>
      </c>
    </row>
    <row r="92" spans="1:26" s="29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SUM(OSRRefD22_17x_0)</f>
        <v>127.5</v>
      </c>
      <c r="E92" s="1"/>
      <c r="F92" s="5">
        <f t="shared" ref="F92:F94" si="69">IF(D$12=0,0,D92/D$12)</f>
        <v>0</v>
      </c>
      <c r="G92" s="1"/>
      <c r="H92" s="1">
        <f>SUM(OSRRefH22_17x_0)</f>
        <v>235</v>
      </c>
      <c r="I92" s="1"/>
      <c r="J92" s="5">
        <f t="shared" ref="J92:J94" si="70">IF(H$12=0,0,H92/H$12)</f>
        <v>6.0983521473984689E-3</v>
      </c>
      <c r="K92" s="1"/>
      <c r="L92" s="1">
        <f t="shared" ref="L92:L94" si="71">+D92-H92</f>
        <v>-107.5</v>
      </c>
      <c r="M92" s="1"/>
      <c r="N92" s="5">
        <f t="shared" ref="N92:N94" si="72">IF(H92=0,0,L92/H92)</f>
        <v>-0.45744680851063829</v>
      </c>
      <c r="O92" s="14"/>
      <c r="P92" s="1">
        <f>SUM(OSRRefP22_17x_0)</f>
        <v>2384.7399999999998</v>
      </c>
      <c r="Q92" s="1"/>
      <c r="R92" s="5">
        <f t="shared" ref="R92:R94" si="73">IF(P$12=0,0,P92/P$12)</f>
        <v>0.92200566795671302</v>
      </c>
      <c r="S92" s="1"/>
      <c r="T92" s="1">
        <f>SUM(OSRRefT22_17x_0)</f>
        <v>1470</v>
      </c>
      <c r="U92" s="1"/>
      <c r="V92" s="5">
        <f t="shared" ref="V92:V94" si="74">IF(T$12=0,0,T92/T$12)</f>
        <v>9.12720341245646E-3</v>
      </c>
      <c r="W92" s="1"/>
      <c r="X92" s="1">
        <f t="shared" ref="X92:X94" si="75">+P92-T92</f>
        <v>914.73999999999978</v>
      </c>
      <c r="Y92" s="1"/>
      <c r="Z92" s="5">
        <f t="shared" ref="Z92:Z94" si="76">IF(T92=0,0,X92/T92)</f>
        <v>0.62227210884353723</v>
      </c>
    </row>
    <row r="93" spans="1:26" s="24" customFormat="1" hidden="1" outlineLevel="2" x14ac:dyDescent="0.25">
      <c r="A93" s="28"/>
      <c r="B93" s="11" t="str">
        <f>CONCATENATE("          ", "6303", " - ", "DATA PHONE LINES")</f>
        <v xml:space="preserve">          6303 - DATA PHONE LINES</v>
      </c>
      <c r="C93" s="11"/>
      <c r="D93" s="6"/>
      <c r="E93" s="2"/>
      <c r="F93" s="7">
        <f t="shared" si="69"/>
        <v>0</v>
      </c>
      <c r="G93" s="2"/>
      <c r="H93" s="6">
        <v>235</v>
      </c>
      <c r="I93" s="2"/>
      <c r="J93" s="7">
        <f t="shared" si="70"/>
        <v>6.0983521473984689E-3</v>
      </c>
      <c r="K93" s="2"/>
      <c r="L93" s="6">
        <f t="shared" si="71"/>
        <v>-235</v>
      </c>
      <c r="M93" s="2"/>
      <c r="N93" s="7">
        <f t="shared" si="72"/>
        <v>-1</v>
      </c>
      <c r="O93" s="11"/>
      <c r="P93" s="6"/>
      <c r="Q93" s="2"/>
      <c r="R93" s="7">
        <f t="shared" si="73"/>
        <v>0</v>
      </c>
      <c r="S93" s="2"/>
      <c r="T93" s="6">
        <v>1170</v>
      </c>
      <c r="U93" s="2"/>
      <c r="V93" s="7">
        <f t="shared" si="74"/>
        <v>7.2645088384857533E-3</v>
      </c>
      <c r="W93" s="2"/>
      <c r="X93" s="6">
        <f t="shared" si="75"/>
        <v>-1170</v>
      </c>
      <c r="Y93" s="2"/>
      <c r="Z93" s="7">
        <f t="shared" si="76"/>
        <v>-1</v>
      </c>
    </row>
    <row r="94" spans="1:26" s="24" customFormat="1" hidden="1" outlineLevel="2" x14ac:dyDescent="0.25">
      <c r="A94" s="28"/>
      <c r="B94" s="11" t="str">
        <f>CONCATENATE("          ", "6309", " - ", "TELEPHONE")</f>
        <v xml:space="preserve">          6309 - TELEPHONE</v>
      </c>
      <c r="C94" s="11"/>
      <c r="D94" s="6">
        <v>127.5</v>
      </c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127.5</v>
      </c>
      <c r="M94" s="2"/>
      <c r="N94" s="7">
        <f t="shared" si="72"/>
        <v>0</v>
      </c>
      <c r="O94" s="11"/>
      <c r="P94" s="6">
        <v>2384.7399999999998</v>
      </c>
      <c r="Q94" s="2"/>
      <c r="R94" s="7">
        <f t="shared" si="73"/>
        <v>0.92200566795671302</v>
      </c>
      <c r="S94" s="2"/>
      <c r="T94" s="6">
        <v>300</v>
      </c>
      <c r="U94" s="2"/>
      <c r="V94" s="7">
        <f t="shared" si="74"/>
        <v>1.8626945739707061E-3</v>
      </c>
      <c r="W94" s="2"/>
      <c r="X94" s="6">
        <f t="shared" si="75"/>
        <v>2084.7399999999998</v>
      </c>
      <c r="Y94" s="2"/>
      <c r="Z94" s="7">
        <f t="shared" si="76"/>
        <v>6.9491333333333323</v>
      </c>
    </row>
    <row r="95" spans="1:26" s="29" customFormat="1" outlineLevel="1" collapsed="1" x14ac:dyDescent="0.25">
      <c r="A95" s="27"/>
      <c r="B95" s="14" t="str">
        <f>CONCATENATE("     ","Training                                          ")</f>
        <v xml:space="preserve">     Training                                          </v>
      </c>
      <c r="C95" s="14"/>
      <c r="D95" s="1">
        <f>SUM(OSRRefD22_18x_0)</f>
        <v>0</v>
      </c>
      <c r="E95" s="1"/>
      <c r="F95" s="5">
        <f t="shared" ref="F95:F100" si="77">IF(D$12=0,0,D95/D$12)</f>
        <v>0</v>
      </c>
      <c r="G95" s="1"/>
      <c r="H95" s="1">
        <f>SUM(OSRRefH22_18x_0)</f>
        <v>0</v>
      </c>
      <c r="I95" s="1"/>
      <c r="J95" s="5">
        <f t="shared" ref="J95:J100" si="78">IF(H$12=0,0,H95/H$12)</f>
        <v>0</v>
      </c>
      <c r="K95" s="1"/>
      <c r="L95" s="1">
        <f t="shared" ref="L95:L100" si="79">+D95-H95</f>
        <v>0</v>
      </c>
      <c r="M95" s="1"/>
      <c r="N95" s="5">
        <f t="shared" ref="N95:N100" si="80">IF(H95=0,0,L95/H95)</f>
        <v>0</v>
      </c>
      <c r="O95" s="14"/>
      <c r="P95" s="1">
        <f>SUM(OSRRefP22_18x_0)</f>
        <v>0</v>
      </c>
      <c r="Q95" s="1"/>
      <c r="R95" s="5">
        <f t="shared" ref="R95:R100" si="81">IF(P$12=0,0,P95/P$12)</f>
        <v>0</v>
      </c>
      <c r="S95" s="1"/>
      <c r="T95" s="1">
        <f>SUM(OSRRefT22_18x_0)</f>
        <v>120</v>
      </c>
      <c r="U95" s="1"/>
      <c r="V95" s="5">
        <f t="shared" ref="V95:V100" si="82">IF(T$12=0,0,T95/T$12)</f>
        <v>7.4507782958828242E-4</v>
      </c>
      <c r="W95" s="1"/>
      <c r="X95" s="1">
        <f t="shared" ref="X95:X100" si="83">+P95-T95</f>
        <v>-120</v>
      </c>
      <c r="Y95" s="1"/>
      <c r="Z95" s="5">
        <f t="shared" ref="Z95:Z100" si="84">IF(T95=0,0,X95/T95)</f>
        <v>-1</v>
      </c>
    </row>
    <row r="96" spans="1:26" s="24" customFormat="1" hidden="1" outlineLevel="2" x14ac:dyDescent="0.25">
      <c r="A96" s="28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77"/>
        <v>0</v>
      </c>
      <c r="G96" s="2"/>
      <c r="H96" s="6"/>
      <c r="I96" s="2"/>
      <c r="J96" s="7">
        <f t="shared" si="78"/>
        <v>0</v>
      </c>
      <c r="K96" s="2"/>
      <c r="L96" s="6">
        <f t="shared" si="79"/>
        <v>0</v>
      </c>
      <c r="M96" s="2"/>
      <c r="N96" s="7">
        <f t="shared" si="80"/>
        <v>0</v>
      </c>
      <c r="O96" s="11"/>
      <c r="P96" s="6"/>
      <c r="Q96" s="2"/>
      <c r="R96" s="7">
        <f t="shared" si="81"/>
        <v>0</v>
      </c>
      <c r="S96" s="2"/>
      <c r="T96" s="6">
        <v>120</v>
      </c>
      <c r="U96" s="2"/>
      <c r="V96" s="7">
        <f t="shared" si="82"/>
        <v>7.4507782958828242E-4</v>
      </c>
      <c r="W96" s="2"/>
      <c r="X96" s="6">
        <f t="shared" si="83"/>
        <v>-120</v>
      </c>
      <c r="Y96" s="2"/>
      <c r="Z96" s="7">
        <f t="shared" si="84"/>
        <v>-1</v>
      </c>
    </row>
    <row r="97" spans="1:26" s="29" customFormat="1" outlineLevel="1" collapsed="1" x14ac:dyDescent="0.25">
      <c r="A97" s="27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0</v>
      </c>
      <c r="E97" s="1"/>
      <c r="F97" s="5">
        <f t="shared" si="77"/>
        <v>0</v>
      </c>
      <c r="G97" s="1"/>
      <c r="H97" s="1">
        <f>SUM(OSRRefH22_19x_0)</f>
        <v>0</v>
      </c>
      <c r="I97" s="1"/>
      <c r="J97" s="5">
        <f t="shared" si="78"/>
        <v>0</v>
      </c>
      <c r="K97" s="1"/>
      <c r="L97" s="1">
        <f t="shared" si="79"/>
        <v>0</v>
      </c>
      <c r="M97" s="1"/>
      <c r="N97" s="5">
        <f t="shared" si="80"/>
        <v>0</v>
      </c>
      <c r="O97" s="14"/>
      <c r="P97" s="1">
        <f>SUM(OSRRefP22_19x_0)</f>
        <v>0</v>
      </c>
      <c r="Q97" s="1"/>
      <c r="R97" s="5">
        <f t="shared" si="81"/>
        <v>0</v>
      </c>
      <c r="S97" s="1"/>
      <c r="T97" s="1">
        <f>SUM(OSRRefT22_19x_0)</f>
        <v>1500</v>
      </c>
      <c r="U97" s="1"/>
      <c r="V97" s="5">
        <f t="shared" si="82"/>
        <v>9.3134728698535309E-3</v>
      </c>
      <c r="W97" s="1"/>
      <c r="X97" s="1">
        <f t="shared" si="83"/>
        <v>-1500</v>
      </c>
      <c r="Y97" s="1"/>
      <c r="Z97" s="5">
        <f t="shared" si="84"/>
        <v>-1</v>
      </c>
    </row>
    <row r="98" spans="1:26" s="24" customFormat="1" hidden="1" outlineLevel="2" x14ac:dyDescent="0.25">
      <c r="A98" s="28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77"/>
        <v>0</v>
      </c>
      <c r="G98" s="2"/>
      <c r="H98" s="6"/>
      <c r="I98" s="2"/>
      <c r="J98" s="7">
        <f t="shared" si="78"/>
        <v>0</v>
      </c>
      <c r="K98" s="2"/>
      <c r="L98" s="6">
        <f t="shared" si="79"/>
        <v>0</v>
      </c>
      <c r="M98" s="2"/>
      <c r="N98" s="7">
        <f t="shared" si="80"/>
        <v>0</v>
      </c>
      <c r="O98" s="11"/>
      <c r="P98" s="6"/>
      <c r="Q98" s="2"/>
      <c r="R98" s="7">
        <f t="shared" si="81"/>
        <v>0</v>
      </c>
      <c r="S98" s="2"/>
      <c r="T98" s="6">
        <v>1500</v>
      </c>
      <c r="U98" s="2"/>
      <c r="V98" s="7">
        <f t="shared" si="82"/>
        <v>9.3134728698535309E-3</v>
      </c>
      <c r="W98" s="2"/>
      <c r="X98" s="6">
        <f t="shared" si="83"/>
        <v>-1500</v>
      </c>
      <c r="Y98" s="2"/>
      <c r="Z98" s="7">
        <f t="shared" si="84"/>
        <v>-1</v>
      </c>
    </row>
    <row r="99" spans="1:26" s="29" customFormat="1" outlineLevel="1" collapsed="1" x14ac:dyDescent="0.25">
      <c r="A99" s="27"/>
      <c r="B99" s="14" t="str">
        <f>CONCATENATE("     ","Utilities                                         ")</f>
        <v xml:space="preserve">     Utilities                                         </v>
      </c>
      <c r="C99" s="14"/>
      <c r="D99" s="1">
        <f>SUM(OSRRefD22_20x_0)</f>
        <v>1136</v>
      </c>
      <c r="E99" s="1"/>
      <c r="F99" s="5">
        <f t="shared" si="77"/>
        <v>0</v>
      </c>
      <c r="G99" s="1"/>
      <c r="H99" s="1">
        <f>SUM(OSRRefH22_20x_0)</f>
        <v>821</v>
      </c>
      <c r="I99" s="1"/>
      <c r="J99" s="5">
        <f t="shared" si="78"/>
        <v>2.130530686388997E-2</v>
      </c>
      <c r="K99" s="1"/>
      <c r="L99" s="1">
        <f t="shared" si="79"/>
        <v>315</v>
      </c>
      <c r="M99" s="1"/>
      <c r="N99" s="5">
        <f t="shared" si="80"/>
        <v>0.38367844092570036</v>
      </c>
      <c r="O99" s="14"/>
      <c r="P99" s="1">
        <f>SUM(OSRRefP22_20x_0)</f>
        <v>2422</v>
      </c>
      <c r="Q99" s="1"/>
      <c r="R99" s="5">
        <f t="shared" si="81"/>
        <v>0.93641140241332776</v>
      </c>
      <c r="S99" s="1"/>
      <c r="T99" s="1">
        <f>SUM(OSRRefT22_20x_0)</f>
        <v>3334</v>
      </c>
      <c r="U99" s="1"/>
      <c r="V99" s="5">
        <f t="shared" si="82"/>
        <v>2.070074569872778E-2</v>
      </c>
      <c r="W99" s="1"/>
      <c r="X99" s="1">
        <f t="shared" si="83"/>
        <v>-912</v>
      </c>
      <c r="Y99" s="1"/>
      <c r="Z99" s="5">
        <f t="shared" si="84"/>
        <v>-0.27354529094181163</v>
      </c>
    </row>
    <row r="100" spans="1:26" s="24" customFormat="1" hidden="1" outlineLevel="2" x14ac:dyDescent="0.25">
      <c r="A100" s="28"/>
      <c r="B100" s="11" t="str">
        <f>CONCATENATE("          ", "6274", " - ", "UTILITIES")</f>
        <v xml:space="preserve">          6274 - UTILITIES</v>
      </c>
      <c r="C100" s="11"/>
      <c r="D100" s="6">
        <v>1136</v>
      </c>
      <c r="E100" s="2"/>
      <c r="F100" s="7">
        <f t="shared" si="77"/>
        <v>0</v>
      </c>
      <c r="G100" s="2"/>
      <c r="H100" s="6">
        <v>821</v>
      </c>
      <c r="I100" s="2"/>
      <c r="J100" s="7">
        <f t="shared" si="78"/>
        <v>2.130530686388997E-2</v>
      </c>
      <c r="K100" s="2"/>
      <c r="L100" s="6">
        <f t="shared" si="79"/>
        <v>315</v>
      </c>
      <c r="M100" s="2"/>
      <c r="N100" s="7">
        <f t="shared" si="80"/>
        <v>0.38367844092570036</v>
      </c>
      <c r="O100" s="11"/>
      <c r="P100" s="6">
        <v>2422</v>
      </c>
      <c r="Q100" s="2"/>
      <c r="R100" s="7">
        <f t="shared" si="81"/>
        <v>0.93641140241332776</v>
      </c>
      <c r="S100" s="2"/>
      <c r="T100" s="6">
        <v>3334</v>
      </c>
      <c r="U100" s="2"/>
      <c r="V100" s="7">
        <f t="shared" si="82"/>
        <v>2.070074569872778E-2</v>
      </c>
      <c r="W100" s="2"/>
      <c r="X100" s="6">
        <f t="shared" si="83"/>
        <v>-912</v>
      </c>
      <c r="Y100" s="2"/>
      <c r="Z100" s="7">
        <f t="shared" si="84"/>
        <v>-0.27354529094181163</v>
      </c>
    </row>
    <row r="101" spans="1:26" s="62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6" t="s">
        <v>0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5" t="s">
        <v>3</v>
      </c>
      <c r="C104" s="25"/>
      <c r="D104" s="21">
        <f>+D24-D26+D102</f>
        <v>-25744.79</v>
      </c>
      <c r="E104" s="13"/>
      <c r="F104" s="20">
        <f>IF(D$12=0,0,D104/D$12)</f>
        <v>0</v>
      </c>
      <c r="G104" s="13"/>
      <c r="H104" s="21">
        <f>+H24-H26+H102</f>
        <v>-27688.6172162</v>
      </c>
      <c r="I104" s="13"/>
      <c r="J104" s="20">
        <f>IF(H$12=0,0,H104/H$12)</f>
        <v>-0.71853165216556381</v>
      </c>
      <c r="K104" s="16"/>
      <c r="L104" s="21">
        <f>+D104-H104</f>
        <v>1943.8272161999994</v>
      </c>
      <c r="M104" s="16"/>
      <c r="N104" s="20">
        <f>IF(H104=0,0,L104/H104)</f>
        <v>-7.0203116357241163E-2</v>
      </c>
      <c r="O104" s="26"/>
      <c r="P104" s="21">
        <f>+P24-P26+P102</f>
        <v>-157835.63999999998</v>
      </c>
      <c r="Q104" s="13"/>
      <c r="R104" s="20">
        <f>IF(P$12=0,0,P104/P$12)</f>
        <v>-61.02357266854051</v>
      </c>
      <c r="S104" s="13"/>
      <c r="T104" s="21">
        <f>+T24-T26+T102</f>
        <v>-161272.35486050003</v>
      </c>
      <c r="U104" s="13"/>
      <c r="V104" s="20">
        <f>IF(T$12=0,0,T104/T$12)</f>
        <v>-1.001337134433772</v>
      </c>
      <c r="W104" s="16"/>
      <c r="X104" s="21">
        <f>+P104-T104</f>
        <v>3436.7148605000402</v>
      </c>
      <c r="Y104" s="16"/>
      <c r="Z104" s="20">
        <f>IF(T104=0,0,X104/T104)</f>
        <v>-2.1310006066897116E-2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-142.94999999999999</v>
      </c>
      <c r="E106" s="4"/>
      <c r="F106" s="12">
        <f>IF(D$12=0,0,D106/D$12)</f>
        <v>0</v>
      </c>
      <c r="G106" s="4"/>
      <c r="H106" s="4">
        <v>8665</v>
      </c>
      <c r="I106" s="4"/>
      <c r="J106" s="12">
        <f>IF(H$12=0,0,H106/H$12)</f>
        <v>0.22486051641364993</v>
      </c>
      <c r="K106" s="4"/>
      <c r="L106" s="4">
        <f>+D106-H106</f>
        <v>-8807.9500000000007</v>
      </c>
      <c r="M106" s="4"/>
      <c r="N106" s="12">
        <f>IF(H106=0,0,L106/H106)</f>
        <v>-1.0164974033467975</v>
      </c>
      <c r="O106" s="10"/>
      <c r="P106" s="4">
        <v>417.34</v>
      </c>
      <c r="Q106" s="4"/>
      <c r="R106" s="12">
        <f>IF(P$12=0,0,P106/P$12)</f>
        <v>0.16135505147942947</v>
      </c>
      <c r="S106" s="4"/>
      <c r="T106" s="4">
        <v>28723</v>
      </c>
      <c r="U106" s="4"/>
      <c r="V106" s="12">
        <f>IF(T$12=0,0,T106/T$12)</f>
        <v>0.17834058749386864</v>
      </c>
      <c r="W106" s="4"/>
      <c r="X106" s="4">
        <f>+P106-T106</f>
        <v>-28305.66</v>
      </c>
      <c r="Y106" s="4"/>
      <c r="Z106" s="12">
        <f>IF(T106=0,0,X106/T106)</f>
        <v>-0.985470180691432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4</v>
      </c>
      <c r="C108" s="25"/>
      <c r="D108" s="31">
        <f>+D104-D106</f>
        <v>-25601.84</v>
      </c>
      <c r="E108" s="13"/>
      <c r="F108" s="34">
        <f>IF(D$12=0,0,D108/D$12)</f>
        <v>0</v>
      </c>
      <c r="G108" s="13"/>
      <c r="H108" s="31">
        <f>+H104-H106</f>
        <v>-36353.6172162</v>
      </c>
      <c r="I108" s="13"/>
      <c r="J108" s="34">
        <f>IF(H$12=0,0,H108/H$12)</f>
        <v>-0.94339216857921371</v>
      </c>
      <c r="K108" s="16"/>
      <c r="L108" s="31">
        <f>D108-H108</f>
        <v>10751.7772162</v>
      </c>
      <c r="M108" s="16"/>
      <c r="N108" s="34">
        <f>IF(H108=0,0,L108/H108)</f>
        <v>-0.29575536190133955</v>
      </c>
      <c r="O108" s="26"/>
      <c r="P108" s="31">
        <f>+P104-P106</f>
        <v>-158252.97999999998</v>
      </c>
      <c r="Q108" s="13"/>
      <c r="R108" s="34">
        <f>IF(P$12=0,0,P108/P$12)</f>
        <v>-61.184927720019935</v>
      </c>
      <c r="S108" s="13"/>
      <c r="T108" s="31">
        <f>+T104-T106</f>
        <v>-189995.35486050003</v>
      </c>
      <c r="U108" s="13"/>
      <c r="V108" s="34">
        <f>IF(T$12=0,0,T108/T$12)</f>
        <v>-1.1796777219276406</v>
      </c>
      <c r="W108" s="16"/>
      <c r="X108" s="31">
        <f>P108-T108</f>
        <v>31742.374860500044</v>
      </c>
      <c r="Y108" s="16"/>
      <c r="Z108" s="34">
        <f>IF(T108=0,0,X108/T108)</f>
        <v>-0.167069215370061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5" t="s">
        <v>5</v>
      </c>
      <c r="C111" s="25"/>
      <c r="D111" s="33">
        <f>SUM(D108:D110)</f>
        <v>-25601.84</v>
      </c>
      <c r="E111" s="13"/>
      <c r="F111" s="30">
        <f>IF(D$12=0,0,D111/D$12)</f>
        <v>0</v>
      </c>
      <c r="G111" s="13"/>
      <c r="H111" s="33">
        <f>SUM(H108:H110)</f>
        <v>-36353.6172162</v>
      </c>
      <c r="I111" s="13"/>
      <c r="J111" s="30">
        <f>IF(H$12=0,0,H111/H$12)</f>
        <v>-0.94339216857921371</v>
      </c>
      <c r="K111" s="16"/>
      <c r="L111" s="33">
        <f>+D111-H111</f>
        <v>10751.7772162</v>
      </c>
      <c r="M111" s="16"/>
      <c r="N111" s="30">
        <f>IF(H111=0,0,L111/H111)</f>
        <v>-0.29575536190133955</v>
      </c>
      <c r="O111" s="26"/>
      <c r="P111" s="33">
        <f>SUM(P108:P110)</f>
        <v>-158252.97999999998</v>
      </c>
      <c r="Q111" s="13"/>
      <c r="R111" s="30">
        <f>IF(P$12=0,0,P111/P$12)</f>
        <v>-61.184927720019935</v>
      </c>
      <c r="S111" s="13"/>
      <c r="T111" s="33">
        <f>SUM(T108:T110)</f>
        <v>-189995.35486050003</v>
      </c>
      <c r="U111" s="13"/>
      <c r="V111" s="30">
        <f>IF(T$12=0,0,T111/T$12)</f>
        <v>-1.1796777219276406</v>
      </c>
      <c r="W111" s="16"/>
      <c r="X111" s="33">
        <f>+P111-T111</f>
        <v>31742.374860500044</v>
      </c>
      <c r="Y111" s="16"/>
      <c r="Z111" s="30">
        <f>IF(T111=0,0,X111/T111)</f>
        <v>-0.167069215370061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5">
        <v>44174.679091284721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7" t="s">
        <v>314</v>
      </c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A115" s="9"/>
      <c r="B115" s="63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2</v>
      </c>
      <c r="U13" s="2"/>
      <c r="V13" s="22"/>
      <c r="W13" s="2"/>
      <c r="X13" s="2">
        <f t="shared" si="2"/>
        <v>-2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6"/>
      <c r="L18" s="21">
        <f>+D18-H18</f>
        <v>0</v>
      </c>
      <c r="M18" s="16"/>
      <c r="N18" s="20">
        <f>IF(H18=0,0,L18/H18)</f>
        <v>0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2</v>
      </c>
      <c r="U18" s="13"/>
      <c r="V18" s="20">
        <f>IF(T$12=0,0,T18/T$12)</f>
        <v>1</v>
      </c>
      <c r="W18" s="16"/>
      <c r="X18" s="21">
        <f>+P18-T18</f>
        <v>-2</v>
      </c>
      <c r="Y18" s="16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>
        <f>SUM(OSRRefD22x_0)</f>
        <v>1914.84</v>
      </c>
      <c r="E20" s="19"/>
      <c r="F20" s="35">
        <f t="shared" ref="F20:F29" si="12">IF(D$12=0,0,D20/D$12)</f>
        <v>0</v>
      </c>
      <c r="G20" s="19"/>
      <c r="H20" s="19">
        <f>SUM(OSRRefH22x_0)</f>
        <v>0</v>
      </c>
      <c r="I20" s="19"/>
      <c r="J20" s="35">
        <f t="shared" ref="J20:J29" si="13">IF(H$12=0,0,H20/H$12)</f>
        <v>0</v>
      </c>
      <c r="K20" s="4"/>
      <c r="L20" s="19">
        <f t="shared" ref="L20:L29" si="14">+D20-H20</f>
        <v>1914.84</v>
      </c>
      <c r="M20" s="4"/>
      <c r="N20" s="35">
        <f t="shared" ref="N20:N29" si="15">IF(H20=0,0,L20/H20)</f>
        <v>0</v>
      </c>
      <c r="O20" s="10"/>
      <c r="P20" s="19">
        <f>SUM(OSRRefP22x_0)</f>
        <v>4702.8500000000004</v>
      </c>
      <c r="Q20" s="19"/>
      <c r="R20" s="35">
        <f t="shared" ref="R20:R29" si="16">IF(P$12=0,0,P20/P$12)</f>
        <v>0</v>
      </c>
      <c r="S20" s="19"/>
      <c r="T20" s="19">
        <f>SUM(OSRRefT22x_0)</f>
        <v>0</v>
      </c>
      <c r="U20" s="19"/>
      <c r="V20" s="35">
        <f t="shared" ref="V20:V29" si="17">IF(T$12=0,0,T20/T$12)</f>
        <v>0</v>
      </c>
      <c r="W20" s="4"/>
      <c r="X20" s="19">
        <f t="shared" ref="X20:X29" si="18">+P20-T20</f>
        <v>4702.8500000000004</v>
      </c>
      <c r="Y20" s="4"/>
      <c r="Z20" s="35">
        <f t="shared" ref="Z20:Z29" si="19">IF(T20=0,0,X20/T20)</f>
        <v>0</v>
      </c>
    </row>
    <row r="21" spans="1:26" s="29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8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8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8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8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8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8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1" si="28">IF(D$12=0,0,D41/D$12)</f>
        <v>0</v>
      </c>
      <c r="G41" s="1"/>
      <c r="H41" s="1">
        <f>SUM(OSRRefH22_2x_0)</f>
        <v>0</v>
      </c>
      <c r="I41" s="1"/>
      <c r="J41" s="5">
        <f t="shared" ref="J41:J51" si="29">IF(H$12=0,0,H41/H$12)</f>
        <v>0</v>
      </c>
      <c r="K41" s="1"/>
      <c r="L41" s="1">
        <f t="shared" ref="L41:L51" si="30">+D41-H41</f>
        <v>0</v>
      </c>
      <c r="M41" s="1"/>
      <c r="N41" s="5">
        <f t="shared" ref="N41:N51" si="31">IF(H41=0,0,L41/H41)</f>
        <v>0</v>
      </c>
      <c r="O41" s="14"/>
      <c r="P41" s="1">
        <f>SUM(OSRRefP22_2x_0)</f>
        <v>0</v>
      </c>
      <c r="Q41" s="1"/>
      <c r="R41" s="5">
        <f t="shared" ref="R41:R51" si="32">IF(P$12=0,0,P41/P$12)</f>
        <v>0</v>
      </c>
      <c r="S41" s="1"/>
      <c r="T41" s="1">
        <f>SUM(OSRRefT22_2x_0)</f>
        <v>0</v>
      </c>
      <c r="U41" s="1"/>
      <c r="V41" s="5">
        <f t="shared" ref="V41:V51" si="33">IF(T$12=0,0,T41/T$12)</f>
        <v>0</v>
      </c>
      <c r="W41" s="1"/>
      <c r="X41" s="1">
        <f t="shared" ref="X41:X51" si="34">+P41-T41</f>
        <v>0</v>
      </c>
      <c r="Y41" s="1"/>
      <c r="Z41" s="5">
        <f t="shared" ref="Z41:Z51" si="35">IF(T41=0,0,X41/T41)</f>
        <v>0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2676.63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2676.63</v>
      </c>
      <c r="Y45" s="1"/>
      <c r="Z45" s="5">
        <f t="shared" si="35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588.16999999999996</v>
      </c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588.16999999999996</v>
      </c>
      <c r="M46" s="2"/>
      <c r="N46" s="7">
        <f t="shared" si="31"/>
        <v>0</v>
      </c>
      <c r="O46" s="11"/>
      <c r="P46" s="6">
        <v>2676.63</v>
      </c>
      <c r="Q46" s="2"/>
      <c r="R46" s="7">
        <f t="shared" si="32"/>
        <v>0</v>
      </c>
      <c r="S46" s="2"/>
      <c r="T46" s="6"/>
      <c r="U46" s="2"/>
      <c r="V46" s="7">
        <f t="shared" si="33"/>
        <v>0</v>
      </c>
      <c r="W46" s="2"/>
      <c r="X46" s="6">
        <f t="shared" si="34"/>
        <v>2676.63</v>
      </c>
      <c r="Y46" s="2"/>
      <c r="Z46" s="7">
        <f t="shared" si="35"/>
        <v>0</v>
      </c>
    </row>
    <row r="47" spans="1:26" s="29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415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415</v>
      </c>
      <c r="M47" s="1"/>
      <c r="N47" s="5">
        <f t="shared" si="31"/>
        <v>0</v>
      </c>
      <c r="O47" s="14"/>
      <c r="P47" s="1">
        <f>SUM(OSRRefP22_5x_0)</f>
        <v>415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415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"6279", " - ", "GENERAL EXPENSE")</f>
        <v xml:space="preserve">          6279 - GENERAL EXPENSE</v>
      </c>
      <c r="C48" s="11"/>
      <c r="D48" s="6">
        <v>415</v>
      </c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415</v>
      </c>
      <c r="M48" s="2"/>
      <c r="N48" s="7">
        <f t="shared" si="31"/>
        <v>0</v>
      </c>
      <c r="O48" s="11"/>
      <c r="P48" s="6">
        <v>415</v>
      </c>
      <c r="Q48" s="2"/>
      <c r="R48" s="7">
        <f t="shared" si="32"/>
        <v>0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415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881.67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881.67</v>
      </c>
      <c r="M49" s="1"/>
      <c r="N49" s="5">
        <f t="shared" si="31"/>
        <v>0</v>
      </c>
      <c r="O49" s="14"/>
      <c r="P49" s="1">
        <f>SUM(OSRRefP22_6x_0)</f>
        <v>1183.8200000000002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1183.8200000000002</v>
      </c>
      <c r="Y49" s="1"/>
      <c r="Z49" s="5">
        <f t="shared" si="35"/>
        <v>0</v>
      </c>
    </row>
    <row r="50" spans="1:26" s="24" customFormat="1" hidden="1" outlineLevel="2" x14ac:dyDescent="0.25">
      <c r="A50" s="28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166.13</v>
      </c>
      <c r="Q50" s="2"/>
      <c r="R50" s="7">
        <f t="shared" si="32"/>
        <v>0</v>
      </c>
      <c r="S50" s="2"/>
      <c r="T50" s="6"/>
      <c r="U50" s="2"/>
      <c r="V50" s="7">
        <f t="shared" si="33"/>
        <v>0</v>
      </c>
      <c r="W50" s="2"/>
      <c r="X50" s="6">
        <f t="shared" si="34"/>
        <v>166.13</v>
      </c>
      <c r="Y50" s="2"/>
      <c r="Z50" s="7">
        <f t="shared" si="35"/>
        <v>0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881.67</v>
      </c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881.67</v>
      </c>
      <c r="M51" s="2"/>
      <c r="N51" s="7">
        <f t="shared" si="31"/>
        <v>0</v>
      </c>
      <c r="O51" s="11"/>
      <c r="P51" s="6">
        <v>1017.69</v>
      </c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1017.69</v>
      </c>
      <c r="Y51" s="2"/>
      <c r="Z51" s="7">
        <f t="shared" si="35"/>
        <v>0</v>
      </c>
    </row>
    <row r="52" spans="1:26" s="29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0</v>
      </c>
      <c r="E52" s="1"/>
      <c r="F52" s="5">
        <f t="shared" ref="F52:F54" si="36">IF(D$12=0,0,D52/D$12)</f>
        <v>0</v>
      </c>
      <c r="G52" s="1"/>
      <c r="H52" s="1">
        <f>SUM(OSRRefH22_7x_0)</f>
        <v>0</v>
      </c>
      <c r="I52" s="1"/>
      <c r="J52" s="5">
        <f t="shared" ref="J52:J54" si="37">IF(H$12=0,0,H52/H$12)</f>
        <v>0</v>
      </c>
      <c r="K52" s="1"/>
      <c r="L52" s="1">
        <f t="shared" ref="L52:L54" si="38">+D52-H52</f>
        <v>0</v>
      </c>
      <c r="M52" s="1"/>
      <c r="N52" s="5">
        <f t="shared" ref="N52:N54" si="39">IF(H52=0,0,L52/H52)</f>
        <v>0</v>
      </c>
      <c r="O52" s="14"/>
      <c r="P52" s="1">
        <f>SUM(OSRRefP22_7x_0)</f>
        <v>183.08</v>
      </c>
      <c r="Q52" s="1"/>
      <c r="R52" s="5">
        <f t="shared" ref="R52:R54" si="40">IF(P$12=0,0,P52/P$12)</f>
        <v>0</v>
      </c>
      <c r="S52" s="1"/>
      <c r="T52" s="1">
        <f>SUM(OSRRefT22_7x_0)</f>
        <v>0</v>
      </c>
      <c r="U52" s="1"/>
      <c r="V52" s="5">
        <f t="shared" ref="V52:V54" si="41">IF(T$12=0,0,T52/T$12)</f>
        <v>0</v>
      </c>
      <c r="W52" s="1"/>
      <c r="X52" s="1">
        <f t="shared" ref="X52:X54" si="42">+P52-T52</f>
        <v>183.08</v>
      </c>
      <c r="Y52" s="1"/>
      <c r="Z52" s="5">
        <f t="shared" ref="Z52:Z54" si="43">IF(T52=0,0,X52/T52)</f>
        <v>0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356.12</v>
      </c>
      <c r="Q53" s="2"/>
      <c r="R53" s="7">
        <f t="shared" si="40"/>
        <v>0</v>
      </c>
      <c r="S53" s="2"/>
      <c r="T53" s="6"/>
      <c r="U53" s="2"/>
      <c r="V53" s="7">
        <f t="shared" si="41"/>
        <v>0</v>
      </c>
      <c r="W53" s="2"/>
      <c r="X53" s="6">
        <f t="shared" si="42"/>
        <v>356.12</v>
      </c>
      <c r="Y53" s="2"/>
      <c r="Z53" s="7">
        <f t="shared" si="43"/>
        <v>0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6"/>
        <v>0</v>
      </c>
      <c r="G54" s="2"/>
      <c r="H54" s="6">
        <v>0</v>
      </c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-173.04</v>
      </c>
      <c r="Q54" s="2"/>
      <c r="R54" s="7">
        <f t="shared" si="40"/>
        <v>0</v>
      </c>
      <c r="S54" s="2"/>
      <c r="T54" s="6">
        <v>0</v>
      </c>
      <c r="U54" s="2"/>
      <c r="V54" s="7">
        <f t="shared" si="41"/>
        <v>0</v>
      </c>
      <c r="W54" s="2"/>
      <c r="X54" s="6">
        <f t="shared" si="42"/>
        <v>-173.04</v>
      </c>
      <c r="Y54" s="2"/>
      <c r="Z54" s="7">
        <f t="shared" si="43"/>
        <v>0</v>
      </c>
    </row>
    <row r="55" spans="1:26" s="29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ref="F55:F57" si="44">IF(D$12=0,0,D55/D$12)</f>
        <v>0</v>
      </c>
      <c r="G55" s="1"/>
      <c r="H55" s="1">
        <f>SUM(OSRRefH22_8x_0)</f>
        <v>0</v>
      </c>
      <c r="I55" s="1"/>
      <c r="J55" s="5">
        <f t="shared" ref="J55:J57" si="45">IF(H$12=0,0,H55/H$12)</f>
        <v>0</v>
      </c>
      <c r="K55" s="1"/>
      <c r="L55" s="1">
        <f t="shared" ref="L55:L57" si="46">+D55-H55</f>
        <v>0</v>
      </c>
      <c r="M55" s="1"/>
      <c r="N55" s="5">
        <f t="shared" ref="N55:N57" si="47">IF(H55=0,0,L55/H55)</f>
        <v>0</v>
      </c>
      <c r="O55" s="14"/>
      <c r="P55" s="1">
        <f>SUM(OSRRefP22_8x_0)</f>
        <v>0</v>
      </c>
      <c r="Q55" s="1"/>
      <c r="R55" s="5">
        <f t="shared" ref="R55:R57" si="48">IF(P$12=0,0,P55/P$12)</f>
        <v>0</v>
      </c>
      <c r="S55" s="1"/>
      <c r="T55" s="1">
        <f>SUM(OSRRefT22_8x_0)</f>
        <v>0</v>
      </c>
      <c r="U55" s="1"/>
      <c r="V55" s="5">
        <f t="shared" ref="V55:V57" si="49">IF(T$12=0,0,T55/T$12)</f>
        <v>0</v>
      </c>
      <c r="W55" s="1"/>
      <c r="X55" s="1">
        <f t="shared" ref="X55:X57" si="50">+P55-T55</f>
        <v>0</v>
      </c>
      <c r="Y55" s="1"/>
      <c r="Z55" s="5">
        <f t="shared" ref="Z55:Z57" si="51">IF(T55=0,0,X55/T55)</f>
        <v>0</v>
      </c>
    </row>
    <row r="56" spans="1:26" s="24" customFormat="1" hidden="1" outlineLevel="2" x14ac:dyDescent="0.25">
      <c r="A56" s="28"/>
      <c r="B56" s="11" t="str">
        <f>CONCATENATE("          ", "6235", " - ", "COVID-19 EXPENSES")</f>
        <v xml:space="preserve">          6235 - COVID-19 EXPENSES</v>
      </c>
      <c r="C56" s="11"/>
      <c r="D56" s="6"/>
      <c r="E56" s="2"/>
      <c r="F56" s="7">
        <f t="shared" si="44"/>
        <v>0</v>
      </c>
      <c r="G56" s="2"/>
      <c r="H56" s="6">
        <v>0</v>
      </c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/>
      <c r="Q56" s="2"/>
      <c r="R56" s="7">
        <f t="shared" si="48"/>
        <v>0</v>
      </c>
      <c r="S56" s="2"/>
      <c r="T56" s="6">
        <v>0</v>
      </c>
      <c r="U56" s="2"/>
      <c r="V56" s="7">
        <f t="shared" si="49"/>
        <v>0</v>
      </c>
      <c r="W56" s="2"/>
      <c r="X56" s="6">
        <f t="shared" si="50"/>
        <v>0</v>
      </c>
      <c r="Y56" s="2"/>
      <c r="Z56" s="7">
        <f t="shared" si="51"/>
        <v>0</v>
      </c>
    </row>
    <row r="57" spans="1:26" s="24" customFormat="1" hidden="1" outlineLevel="2" x14ac:dyDescent="0.25">
      <c r="A57" s="28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44"/>
        <v>0</v>
      </c>
      <c r="G57" s="2"/>
      <c r="H57" s="6">
        <v>0</v>
      </c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/>
      <c r="Q57" s="2"/>
      <c r="R57" s="7">
        <f t="shared" si="48"/>
        <v>0</v>
      </c>
      <c r="S57" s="2"/>
      <c r="T57" s="6">
        <v>0</v>
      </c>
      <c r="U57" s="2"/>
      <c r="V57" s="7">
        <f t="shared" si="49"/>
        <v>0</v>
      </c>
      <c r="W57" s="2"/>
      <c r="X57" s="6">
        <f t="shared" si="50"/>
        <v>0</v>
      </c>
      <c r="Y57" s="2"/>
      <c r="Z57" s="7">
        <f t="shared" si="51"/>
        <v>0</v>
      </c>
    </row>
    <row r="58" spans="1:26" s="29" customFormat="1" outlineLevel="1" collapsed="1" x14ac:dyDescent="0.25">
      <c r="A58" s="27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30</v>
      </c>
      <c r="E58" s="1"/>
      <c r="F58" s="5">
        <f t="shared" ref="F58:F59" si="52">IF(D$12=0,0,D58/D$12)</f>
        <v>0</v>
      </c>
      <c r="G58" s="1"/>
      <c r="H58" s="1">
        <f>SUM(OSRRefH22_9x_0)</f>
        <v>0</v>
      </c>
      <c r="I58" s="1"/>
      <c r="J58" s="5">
        <f t="shared" ref="J58:J59" si="53">IF(H$12=0,0,H58/H$12)</f>
        <v>0</v>
      </c>
      <c r="K58" s="1"/>
      <c r="L58" s="1">
        <f t="shared" ref="L58:L59" si="54">+D58-H58</f>
        <v>30</v>
      </c>
      <c r="M58" s="1"/>
      <c r="N58" s="5">
        <f t="shared" ref="N58:N59" si="55">IF(H58=0,0,L58/H58)</f>
        <v>0</v>
      </c>
      <c r="O58" s="14"/>
      <c r="P58" s="1">
        <f>SUM(OSRRefP22_9x_0)</f>
        <v>244.32</v>
      </c>
      <c r="Q58" s="1"/>
      <c r="R58" s="5">
        <f t="shared" ref="R58:R59" si="56">IF(P$12=0,0,P58/P$12)</f>
        <v>0</v>
      </c>
      <c r="S58" s="1"/>
      <c r="T58" s="1">
        <f>SUM(OSRRefT22_9x_0)</f>
        <v>0</v>
      </c>
      <c r="U58" s="1"/>
      <c r="V58" s="5">
        <f t="shared" ref="V58:V59" si="57">IF(T$12=0,0,T58/T$12)</f>
        <v>0</v>
      </c>
      <c r="W58" s="1"/>
      <c r="X58" s="1">
        <f t="shared" ref="X58:X59" si="58">+P58-T58</f>
        <v>244.32</v>
      </c>
      <c r="Y58" s="1"/>
      <c r="Z58" s="5">
        <f t="shared" ref="Z58:Z59" si="59">IF(T58=0,0,X58/T58)</f>
        <v>0</v>
      </c>
    </row>
    <row r="59" spans="1:26" s="24" customFormat="1" hidden="1" outlineLevel="2" x14ac:dyDescent="0.25">
      <c r="A59" s="28"/>
      <c r="B59" s="11" t="str">
        <f>CONCATENATE("          ", "6309", " - ", "TELEPHONE")</f>
        <v xml:space="preserve">          6309 - TELEPHONE</v>
      </c>
      <c r="C59" s="11"/>
      <c r="D59" s="6">
        <v>30</v>
      </c>
      <c r="E59" s="2"/>
      <c r="F59" s="7">
        <f t="shared" si="52"/>
        <v>0</v>
      </c>
      <c r="G59" s="2"/>
      <c r="H59" s="6"/>
      <c r="I59" s="2"/>
      <c r="J59" s="7">
        <f t="shared" si="53"/>
        <v>0</v>
      </c>
      <c r="K59" s="2"/>
      <c r="L59" s="6">
        <f t="shared" si="54"/>
        <v>30</v>
      </c>
      <c r="M59" s="2"/>
      <c r="N59" s="7">
        <f t="shared" si="55"/>
        <v>0</v>
      </c>
      <c r="O59" s="11"/>
      <c r="P59" s="6">
        <v>244.32</v>
      </c>
      <c r="Q59" s="2"/>
      <c r="R59" s="7">
        <f t="shared" si="56"/>
        <v>0</v>
      </c>
      <c r="S59" s="2"/>
      <c r="T59" s="6"/>
      <c r="U59" s="2"/>
      <c r="V59" s="7">
        <f t="shared" si="57"/>
        <v>0</v>
      </c>
      <c r="W59" s="2"/>
      <c r="X59" s="6">
        <f t="shared" si="58"/>
        <v>244.32</v>
      </c>
      <c r="Y59" s="2"/>
      <c r="Z59" s="7">
        <f t="shared" si="59"/>
        <v>0</v>
      </c>
    </row>
    <row r="60" spans="1:26" s="62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6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5" t="s">
        <v>3</v>
      </c>
      <c r="C63" s="25"/>
      <c r="D63" s="21">
        <f>+D18-D20+D61</f>
        <v>-1914.84</v>
      </c>
      <c r="E63" s="13"/>
      <c r="F63" s="20">
        <f>IF(D$12=0,0,D63/D$12)</f>
        <v>0</v>
      </c>
      <c r="G63" s="13"/>
      <c r="H63" s="21">
        <f>+H18-H20+H61</f>
        <v>0</v>
      </c>
      <c r="I63" s="13"/>
      <c r="J63" s="20">
        <f>IF(H$12=0,0,H63/H$12)</f>
        <v>0</v>
      </c>
      <c r="K63" s="16"/>
      <c r="L63" s="21">
        <f>+D63-H63</f>
        <v>-1914.84</v>
      </c>
      <c r="M63" s="16"/>
      <c r="N63" s="20">
        <f>IF(H63=0,0,L63/H63)</f>
        <v>0</v>
      </c>
      <c r="O63" s="26"/>
      <c r="P63" s="21">
        <f>+P18-P20+P61</f>
        <v>-4702.8500000000004</v>
      </c>
      <c r="Q63" s="13"/>
      <c r="R63" s="20">
        <f>IF(P$12=0,0,P63/P$12)</f>
        <v>0</v>
      </c>
      <c r="S63" s="13"/>
      <c r="T63" s="21">
        <f>+T18-T20+T61</f>
        <v>2</v>
      </c>
      <c r="U63" s="13"/>
      <c r="V63" s="20">
        <f>IF(T$12=0,0,T63/T$12)</f>
        <v>1</v>
      </c>
      <c r="W63" s="16"/>
      <c r="X63" s="21">
        <f>+P63-T63</f>
        <v>-4704.8500000000004</v>
      </c>
      <c r="Y63" s="16"/>
      <c r="Z63" s="20">
        <f>IF(T63=0,0,X63/T63)</f>
        <v>-2352.4250000000002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4</v>
      </c>
      <c r="C67" s="25"/>
      <c r="D67" s="31">
        <f>+D63-D65</f>
        <v>-1914.84</v>
      </c>
      <c r="E67" s="13"/>
      <c r="F67" s="34">
        <f>IF(D$12=0,0,D67/D$12)</f>
        <v>0</v>
      </c>
      <c r="G67" s="13"/>
      <c r="H67" s="31">
        <f>+H63-H65</f>
        <v>0</v>
      </c>
      <c r="I67" s="13"/>
      <c r="J67" s="34">
        <f>IF(H$12=0,0,H67/H$12)</f>
        <v>0</v>
      </c>
      <c r="K67" s="16"/>
      <c r="L67" s="31">
        <f>D67-H67</f>
        <v>-1914.84</v>
      </c>
      <c r="M67" s="16"/>
      <c r="N67" s="34">
        <f>IF(H67=0,0,L67/H67)</f>
        <v>0</v>
      </c>
      <c r="O67" s="26"/>
      <c r="P67" s="31">
        <f>+P63-P65</f>
        <v>-4702.8500000000004</v>
      </c>
      <c r="Q67" s="13"/>
      <c r="R67" s="34">
        <f>IF(P$12=0,0,P67/P$12)</f>
        <v>0</v>
      </c>
      <c r="S67" s="13"/>
      <c r="T67" s="31">
        <f>+T63-T65</f>
        <v>2</v>
      </c>
      <c r="U67" s="13"/>
      <c r="V67" s="34">
        <f>IF(T$12=0,0,T67/T$12)</f>
        <v>1</v>
      </c>
      <c r="W67" s="16"/>
      <c r="X67" s="31">
        <f>P67-T67</f>
        <v>-4704.8500000000004</v>
      </c>
      <c r="Y67" s="16"/>
      <c r="Z67" s="34">
        <f>IF(T67=0,0,X67/T67)</f>
        <v>-2352.4250000000002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5</v>
      </c>
      <c r="C70" s="25"/>
      <c r="D70" s="33">
        <f>SUM(D67:D69)</f>
        <v>-1914.84</v>
      </c>
      <c r="E70" s="13"/>
      <c r="F70" s="30">
        <f>IF(D$12=0,0,D70/D$12)</f>
        <v>0</v>
      </c>
      <c r="G70" s="13"/>
      <c r="H70" s="33">
        <f>SUM(H67:H69)</f>
        <v>0</v>
      </c>
      <c r="I70" s="13"/>
      <c r="J70" s="30">
        <f>IF(H$12=0,0,H70/H$12)</f>
        <v>0</v>
      </c>
      <c r="K70" s="16"/>
      <c r="L70" s="33">
        <f>+D70-H70</f>
        <v>-1914.84</v>
      </c>
      <c r="M70" s="16"/>
      <c r="N70" s="30">
        <f>IF(H70=0,0,L70/H70)</f>
        <v>0</v>
      </c>
      <c r="O70" s="26"/>
      <c r="P70" s="33">
        <f>SUM(P67:P69)</f>
        <v>-4702.8500000000004</v>
      </c>
      <c r="Q70" s="13"/>
      <c r="R70" s="30">
        <f>IF(P$12=0,0,P70/P$12)</f>
        <v>0</v>
      </c>
      <c r="S70" s="13"/>
      <c r="T70" s="33">
        <f>SUM(T67:T69)</f>
        <v>2</v>
      </c>
      <c r="U70" s="13"/>
      <c r="V70" s="30">
        <f>IF(T$12=0,0,T70/T$12)</f>
        <v>1</v>
      </c>
      <c r="W70" s="16"/>
      <c r="X70" s="33">
        <f>+P70-T70</f>
        <v>-4704.8500000000004</v>
      </c>
      <c r="Y70" s="16"/>
      <c r="Z70" s="30">
        <f>IF(T70=0,0,X70/T70)</f>
        <v>-2352.4250000000002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5">
        <v>44174.679537418982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7" t="s">
        <v>314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3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11775</v>
      </c>
      <c r="I12" s="4"/>
      <c r="J12" s="12"/>
      <c r="K12" s="4"/>
      <c r="L12" s="4">
        <f t="shared" ref="L12:L13" si="0">+D12-H12</f>
        <v>-11775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52012</v>
      </c>
      <c r="U12" s="4"/>
      <c r="V12" s="12"/>
      <c r="W12" s="4"/>
      <c r="X12" s="4">
        <f t="shared" ref="X12:X13" si="2">+P12-T12</f>
        <v>-52012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11775</v>
      </c>
      <c r="I13" s="2"/>
      <c r="J13" s="22"/>
      <c r="K13" s="2"/>
      <c r="L13" s="2">
        <f t="shared" si="0"/>
        <v>-11775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52012</v>
      </c>
      <c r="U13" s="2"/>
      <c r="V13" s="22"/>
      <c r="W13" s="2"/>
      <c r="X13" s="2">
        <f t="shared" si="2"/>
        <v>-52012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5581</v>
      </c>
      <c r="I15" s="4"/>
      <c r="J15" s="12">
        <f t="shared" ref="J15:J17" si="5">IF(H$12=0,0,H15/H$12)</f>
        <v>0.47397027600849256</v>
      </c>
      <c r="K15" s="4"/>
      <c r="L15" s="4">
        <f t="shared" ref="L15:L17" si="6">+D15-H15</f>
        <v>-5581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24654</v>
      </c>
      <c r="U15" s="4"/>
      <c r="V15" s="12">
        <f t="shared" ref="V15:V17" si="9">IF(T$12=0,0,T15/T$12)</f>
        <v>0.47400599861570408</v>
      </c>
      <c r="W15" s="4"/>
      <c r="X15" s="4">
        <f t="shared" ref="X15:X17" si="10">+P15-T15</f>
        <v>-25267.59</v>
      </c>
      <c r="Y15" s="4"/>
      <c r="Z15" s="12">
        <f t="shared" ref="Z15:Z17" si="11">IF(T15=0,0,X15/T15)</f>
        <v>-1.0248880506205889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5581</v>
      </c>
      <c r="I16" s="2"/>
      <c r="J16" s="22">
        <f t="shared" si="5"/>
        <v>0.47397027600849256</v>
      </c>
      <c r="K16" s="2"/>
      <c r="L16" s="2">
        <f t="shared" si="6"/>
        <v>-5581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24654</v>
      </c>
      <c r="U16" s="2"/>
      <c r="V16" s="22">
        <f t="shared" si="9"/>
        <v>0.47400599861570408</v>
      </c>
      <c r="W16" s="2"/>
      <c r="X16" s="2">
        <f t="shared" si="10"/>
        <v>-24654</v>
      </c>
      <c r="Y16" s="2"/>
      <c r="Z16" s="22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D12-D15</f>
        <v>0</v>
      </c>
      <c r="E19" s="13"/>
      <c r="F19" s="20">
        <f>IF(D$12=0,0,D19/D$12)</f>
        <v>0</v>
      </c>
      <c r="G19" s="13"/>
      <c r="H19" s="21">
        <f>H12-H15</f>
        <v>6194</v>
      </c>
      <c r="I19" s="13"/>
      <c r="J19" s="20">
        <f>IF(H$12=0,0,H19/H$12)</f>
        <v>0.52602972399150738</v>
      </c>
      <c r="K19" s="16"/>
      <c r="L19" s="21">
        <f>+D19-H19</f>
        <v>-6194</v>
      </c>
      <c r="M19" s="16"/>
      <c r="N19" s="20">
        <f>IF(H19=0,0,L19/H19)</f>
        <v>-1</v>
      </c>
      <c r="O19" s="26"/>
      <c r="P19" s="21">
        <f>P12-P15</f>
        <v>613.59</v>
      </c>
      <c r="Q19" s="13"/>
      <c r="R19" s="20">
        <f>IF(P$12=0,0,P19/P$12)</f>
        <v>0</v>
      </c>
      <c r="S19" s="13"/>
      <c r="T19" s="21">
        <f>T12-T15</f>
        <v>27358</v>
      </c>
      <c r="U19" s="13"/>
      <c r="V19" s="20">
        <f>IF(T$12=0,0,T19/T$12)</f>
        <v>0.52599400138429597</v>
      </c>
      <c r="W19" s="16"/>
      <c r="X19" s="21">
        <f>+P19-T19</f>
        <v>-26744.41</v>
      </c>
      <c r="Y19" s="16"/>
      <c r="Z19" s="20">
        <f>IF(T19=0,0,X19/T19)</f>
        <v>-0.97757182542583521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6309.5499999999993</v>
      </c>
      <c r="E21" s="19"/>
      <c r="F21" s="35">
        <f t="shared" ref="F21:F31" si="12">IF(D$12=0,0,D21/D$12)</f>
        <v>0</v>
      </c>
      <c r="G21" s="19"/>
      <c r="H21" s="19">
        <f>SUM(OSRRefH22x_0)</f>
        <v>13327.436439999999</v>
      </c>
      <c r="I21" s="19"/>
      <c r="J21" s="35">
        <f t="shared" ref="J21:J31" si="13">IF(H$12=0,0,H21/H$12)</f>
        <v>1.1318417358811039</v>
      </c>
      <c r="K21" s="4"/>
      <c r="L21" s="19">
        <f t="shared" ref="L21:L31" si="14">+D21-H21</f>
        <v>-7017.8864400000002</v>
      </c>
      <c r="M21" s="4"/>
      <c r="N21" s="35">
        <f t="shared" ref="N21:N31" si="15">IF(H21=0,0,L21/H21)</f>
        <v>-0.52657436946666092</v>
      </c>
      <c r="O21" s="10"/>
      <c r="P21" s="19">
        <f>SUM(OSRRefP22x_0)</f>
        <v>43974.91</v>
      </c>
      <c r="Q21" s="19"/>
      <c r="R21" s="35">
        <f t="shared" ref="R21:R31" si="16">IF(P$12=0,0,P21/P$12)</f>
        <v>0</v>
      </c>
      <c r="S21" s="19"/>
      <c r="T21" s="19">
        <f>SUM(OSRRefT22x_0)</f>
        <v>70046.672489999997</v>
      </c>
      <c r="U21" s="19"/>
      <c r="V21" s="35">
        <f t="shared" ref="V21:V31" si="17">IF(T$12=0,0,T21/T$12)</f>
        <v>1.3467406077443667</v>
      </c>
      <c r="W21" s="4"/>
      <c r="X21" s="19">
        <f t="shared" ref="X21:X31" si="18">+P21-T21</f>
        <v>-26071.762489999994</v>
      </c>
      <c r="Y21" s="4"/>
      <c r="Z21" s="35">
        <f t="shared" ref="Z21:Z31" si="19">IF(T21=0,0,X21/T21)</f>
        <v>-0.37220558183862412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3672.65</v>
      </c>
      <c r="E22" s="1"/>
      <c r="F22" s="5">
        <f t="shared" si="12"/>
        <v>0</v>
      </c>
      <c r="G22" s="1"/>
      <c r="H22" s="1">
        <f>SUM(OSRRefH22_0x_0)</f>
        <v>3583.7364399999997</v>
      </c>
      <c r="I22" s="1"/>
      <c r="J22" s="5">
        <f t="shared" si="13"/>
        <v>0.3043512900212314</v>
      </c>
      <c r="K22" s="1"/>
      <c r="L22" s="1">
        <f t="shared" si="14"/>
        <v>88.913560000000416</v>
      </c>
      <c r="M22" s="1"/>
      <c r="N22" s="5">
        <f t="shared" si="15"/>
        <v>2.4810295480322885E-2</v>
      </c>
      <c r="O22" s="14"/>
      <c r="P22" s="1">
        <f>SUM(OSRRefP22_0x_0)</f>
        <v>19810.689999999999</v>
      </c>
      <c r="Q22" s="1"/>
      <c r="R22" s="5">
        <f t="shared" si="16"/>
        <v>0</v>
      </c>
      <c r="S22" s="1"/>
      <c r="T22" s="1">
        <f>SUM(OSRRefT22_0x_0)</f>
        <v>18541.322489999999</v>
      </c>
      <c r="U22" s="1"/>
      <c r="V22" s="5">
        <f t="shared" si="17"/>
        <v>0.35648162904714292</v>
      </c>
      <c r="W22" s="1"/>
      <c r="X22" s="1">
        <f t="shared" si="18"/>
        <v>1269.36751</v>
      </c>
      <c r="Y22" s="1"/>
      <c r="Z22" s="5">
        <f t="shared" si="19"/>
        <v>6.8461541008448326E-2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>
        <v>178.84</v>
      </c>
      <c r="E23" s="2"/>
      <c r="F23" s="7">
        <f t="shared" si="12"/>
        <v>0</v>
      </c>
      <c r="G23" s="2"/>
      <c r="H23" s="6">
        <v>493.46544</v>
      </c>
      <c r="I23" s="2"/>
      <c r="J23" s="7">
        <f t="shared" si="13"/>
        <v>4.1907892993630576E-2</v>
      </c>
      <c r="K23" s="2"/>
      <c r="L23" s="6">
        <f t="shared" si="14"/>
        <v>-314.62544000000003</v>
      </c>
      <c r="M23" s="2"/>
      <c r="N23" s="7">
        <f t="shared" si="15"/>
        <v>-0.63758353573859194</v>
      </c>
      <c r="O23" s="11"/>
      <c r="P23" s="6">
        <v>1924.35</v>
      </c>
      <c r="Q23" s="2"/>
      <c r="R23" s="7">
        <f t="shared" si="16"/>
        <v>0</v>
      </c>
      <c r="S23" s="2"/>
      <c r="T23" s="6">
        <v>2669.5959900000003</v>
      </c>
      <c r="U23" s="2"/>
      <c r="V23" s="7">
        <f t="shared" si="17"/>
        <v>5.1326539836960706E-2</v>
      </c>
      <c r="W23" s="2"/>
      <c r="X23" s="6">
        <f t="shared" si="18"/>
        <v>-745.24599000000035</v>
      </c>
      <c r="Y23" s="2"/>
      <c r="Z23" s="7">
        <f t="shared" si="19"/>
        <v>-0.27916058938940808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>
        <v>146.74</v>
      </c>
      <c r="E24" s="2"/>
      <c r="F24" s="7">
        <f t="shared" si="12"/>
        <v>0</v>
      </c>
      <c r="G24" s="2"/>
      <c r="H24" s="6">
        <v>156.32499999999999</v>
      </c>
      <c r="I24" s="2"/>
      <c r="J24" s="7">
        <f t="shared" si="13"/>
        <v>1.3276008492569002E-2</v>
      </c>
      <c r="K24" s="2"/>
      <c r="L24" s="6">
        <f t="shared" si="14"/>
        <v>-9.5849999999999795</v>
      </c>
      <c r="M24" s="2"/>
      <c r="N24" s="7">
        <f t="shared" si="15"/>
        <v>-6.1314569006876575E-2</v>
      </c>
      <c r="O24" s="11"/>
      <c r="P24" s="6">
        <v>499.06</v>
      </c>
      <c r="Q24" s="2"/>
      <c r="R24" s="7">
        <f t="shared" si="16"/>
        <v>0</v>
      </c>
      <c r="S24" s="2"/>
      <c r="T24" s="6">
        <v>818.34749999999997</v>
      </c>
      <c r="U24" s="2"/>
      <c r="V24" s="7">
        <f t="shared" si="17"/>
        <v>1.5733821041298161E-2</v>
      </c>
      <c r="W24" s="2"/>
      <c r="X24" s="6">
        <f t="shared" si="18"/>
        <v>-319.28749999999997</v>
      </c>
      <c r="Y24" s="2"/>
      <c r="Z24" s="7">
        <f t="shared" si="19"/>
        <v>-0.39016127012057833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>
        <v>2021.26</v>
      </c>
      <c r="E25" s="2"/>
      <c r="F25" s="7">
        <f t="shared" si="12"/>
        <v>0</v>
      </c>
      <c r="G25" s="2"/>
      <c r="H25" s="6">
        <v>1980</v>
      </c>
      <c r="I25" s="2"/>
      <c r="J25" s="7">
        <f t="shared" si="13"/>
        <v>0.16815286624203821</v>
      </c>
      <c r="K25" s="2"/>
      <c r="L25" s="6">
        <f t="shared" si="14"/>
        <v>41.259999999999991</v>
      </c>
      <c r="M25" s="2"/>
      <c r="N25" s="7">
        <f t="shared" si="15"/>
        <v>2.0838383838383833E-2</v>
      </c>
      <c r="O25" s="11"/>
      <c r="P25" s="6">
        <v>10106.299999999999</v>
      </c>
      <c r="Q25" s="2"/>
      <c r="R25" s="7">
        <f t="shared" si="16"/>
        <v>0</v>
      </c>
      <c r="S25" s="2"/>
      <c r="T25" s="6">
        <v>9900</v>
      </c>
      <c r="U25" s="2"/>
      <c r="V25" s="7">
        <f t="shared" si="17"/>
        <v>0.19034069060985925</v>
      </c>
      <c r="W25" s="2"/>
      <c r="X25" s="6">
        <f t="shared" si="18"/>
        <v>206.29999999999927</v>
      </c>
      <c r="Y25" s="2"/>
      <c r="Z25" s="7">
        <f t="shared" si="19"/>
        <v>2.0838383838383764E-2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>
        <v>20.62</v>
      </c>
      <c r="E26" s="2"/>
      <c r="F26" s="7">
        <f t="shared" si="12"/>
        <v>0</v>
      </c>
      <c r="G26" s="2"/>
      <c r="H26" s="6">
        <v>21.97</v>
      </c>
      <c r="I26" s="2"/>
      <c r="J26" s="7">
        <f t="shared" si="13"/>
        <v>1.8658174097664544E-3</v>
      </c>
      <c r="K26" s="2"/>
      <c r="L26" s="6">
        <f t="shared" si="14"/>
        <v>-1.3499999999999979</v>
      </c>
      <c r="M26" s="2"/>
      <c r="N26" s="7">
        <f t="shared" si="15"/>
        <v>-6.1447428311333541E-2</v>
      </c>
      <c r="O26" s="11"/>
      <c r="P26" s="6">
        <v>70.14</v>
      </c>
      <c r="Q26" s="2"/>
      <c r="R26" s="7">
        <f t="shared" si="16"/>
        <v>0</v>
      </c>
      <c r="S26" s="2"/>
      <c r="T26" s="6">
        <v>115.011</v>
      </c>
      <c r="U26" s="2"/>
      <c r="V26" s="7">
        <f t="shared" si="17"/>
        <v>2.211239713912174E-3</v>
      </c>
      <c r="W26" s="2"/>
      <c r="X26" s="6">
        <f t="shared" si="18"/>
        <v>-44.870999999999995</v>
      </c>
      <c r="Y26" s="2"/>
      <c r="Z26" s="7">
        <f t="shared" si="19"/>
        <v>-0.39014529045047863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>
        <v>973.28</v>
      </c>
      <c r="E27" s="2"/>
      <c r="F27" s="7">
        <f t="shared" si="12"/>
        <v>0</v>
      </c>
      <c r="G27" s="2"/>
      <c r="H27" s="6">
        <v>478.67599999999999</v>
      </c>
      <c r="I27" s="2"/>
      <c r="J27" s="7">
        <f t="shared" si="13"/>
        <v>4.0651889596602972E-2</v>
      </c>
      <c r="K27" s="2"/>
      <c r="L27" s="6">
        <f t="shared" si="14"/>
        <v>494.60399999999998</v>
      </c>
      <c r="M27" s="2"/>
      <c r="N27" s="7">
        <f t="shared" si="15"/>
        <v>1.0332751171982719</v>
      </c>
      <c r="O27" s="11"/>
      <c r="P27" s="6">
        <v>3490.92</v>
      </c>
      <c r="Q27" s="2"/>
      <c r="R27" s="7">
        <f t="shared" si="16"/>
        <v>0</v>
      </c>
      <c r="S27" s="2"/>
      <c r="T27" s="6">
        <v>2632.7179999999998</v>
      </c>
      <c r="U27" s="2"/>
      <c r="V27" s="7">
        <f t="shared" si="17"/>
        <v>5.0617511343536106E-2</v>
      </c>
      <c r="W27" s="2"/>
      <c r="X27" s="6">
        <f t="shared" si="18"/>
        <v>858.20200000000023</v>
      </c>
      <c r="Y27" s="2"/>
      <c r="Z27" s="7">
        <f t="shared" si="19"/>
        <v>0.32597566469329425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>
        <v>203.53</v>
      </c>
      <c r="E29" s="2"/>
      <c r="F29" s="7">
        <f t="shared" si="12"/>
        <v>0</v>
      </c>
      <c r="G29" s="2"/>
      <c r="H29" s="6">
        <v>166.98</v>
      </c>
      <c r="I29" s="2"/>
      <c r="J29" s="7">
        <f t="shared" si="13"/>
        <v>1.4180891719745223E-2</v>
      </c>
      <c r="K29" s="2"/>
      <c r="L29" s="6">
        <f t="shared" si="14"/>
        <v>36.550000000000011</v>
      </c>
      <c r="M29" s="2"/>
      <c r="N29" s="7">
        <f t="shared" si="15"/>
        <v>0.21888848963947785</v>
      </c>
      <c r="O29" s="11"/>
      <c r="P29" s="6">
        <v>2035.3</v>
      </c>
      <c r="Q29" s="2"/>
      <c r="R29" s="7">
        <f t="shared" si="16"/>
        <v>0</v>
      </c>
      <c r="S29" s="2"/>
      <c r="T29" s="6">
        <v>918.39</v>
      </c>
      <c r="U29" s="2"/>
      <c r="V29" s="7">
        <f t="shared" si="17"/>
        <v>1.7657271398907944E-2</v>
      </c>
      <c r="W29" s="2"/>
      <c r="X29" s="6">
        <f t="shared" si="18"/>
        <v>1116.9099999999999</v>
      </c>
      <c r="Y29" s="2"/>
      <c r="Z29" s="7">
        <f t="shared" si="19"/>
        <v>1.2161608902535959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>
        <v>128.38</v>
      </c>
      <c r="E30" s="2"/>
      <c r="F30" s="7">
        <f t="shared" si="12"/>
        <v>0</v>
      </c>
      <c r="G30" s="2"/>
      <c r="H30" s="6">
        <v>111.32</v>
      </c>
      <c r="I30" s="2"/>
      <c r="J30" s="7">
        <f t="shared" si="13"/>
        <v>9.4539278131634819E-3</v>
      </c>
      <c r="K30" s="2"/>
      <c r="L30" s="6">
        <f t="shared" si="14"/>
        <v>17.060000000000002</v>
      </c>
      <c r="M30" s="2"/>
      <c r="N30" s="7">
        <f t="shared" si="15"/>
        <v>0.15325188645346752</v>
      </c>
      <c r="O30" s="11"/>
      <c r="P30" s="6">
        <v>1283.8</v>
      </c>
      <c r="Q30" s="2"/>
      <c r="R30" s="7">
        <f t="shared" si="16"/>
        <v>0</v>
      </c>
      <c r="S30" s="2"/>
      <c r="T30" s="6">
        <v>612.26</v>
      </c>
      <c r="U30" s="2"/>
      <c r="V30" s="7">
        <f t="shared" si="17"/>
        <v>1.1771514265938629E-2</v>
      </c>
      <c r="W30" s="2"/>
      <c r="X30" s="6">
        <f t="shared" si="18"/>
        <v>671.54</v>
      </c>
      <c r="Y30" s="2"/>
      <c r="Z30" s="7">
        <f t="shared" si="19"/>
        <v>1.0968216117335772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2"/>
        <v>0</v>
      </c>
      <c r="G31" s="2"/>
      <c r="H31" s="6">
        <v>175</v>
      </c>
      <c r="I31" s="2"/>
      <c r="J31" s="7">
        <f t="shared" si="13"/>
        <v>1.4861995753715499E-2</v>
      </c>
      <c r="K31" s="2"/>
      <c r="L31" s="6">
        <f t="shared" si="14"/>
        <v>-175</v>
      </c>
      <c r="M31" s="2"/>
      <c r="N31" s="7">
        <f t="shared" si="15"/>
        <v>-1</v>
      </c>
      <c r="O31" s="11"/>
      <c r="P31" s="6">
        <v>400.82</v>
      </c>
      <c r="Q31" s="2"/>
      <c r="R31" s="7">
        <f t="shared" si="16"/>
        <v>0</v>
      </c>
      <c r="S31" s="2"/>
      <c r="T31" s="6">
        <v>875</v>
      </c>
      <c r="U31" s="2"/>
      <c r="V31" s="7">
        <f t="shared" si="17"/>
        <v>1.6823040836729985E-2</v>
      </c>
      <c r="W31" s="2"/>
      <c r="X31" s="6">
        <f t="shared" si="18"/>
        <v>-474.18</v>
      </c>
      <c r="Y31" s="2"/>
      <c r="Z31" s="7">
        <f t="shared" si="19"/>
        <v>-0.54191999999999996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2505</v>
      </c>
      <c r="E32" s="1"/>
      <c r="F32" s="5">
        <f t="shared" ref="F32:F42" si="20">IF(D$12=0,0,D32/D$12)</f>
        <v>0</v>
      </c>
      <c r="G32" s="1"/>
      <c r="H32" s="1">
        <f>SUM(OSRRefH22_1x_0)</f>
        <v>8171.7</v>
      </c>
      <c r="I32" s="1"/>
      <c r="J32" s="5">
        <f t="shared" ref="J32:J42" si="21">IF(H$12=0,0,H32/H$12)</f>
        <v>0.69398726114649678</v>
      </c>
      <c r="K32" s="1"/>
      <c r="L32" s="1">
        <f t="shared" ref="L32:L42" si="22">+D32-H32</f>
        <v>-5666.7</v>
      </c>
      <c r="M32" s="1"/>
      <c r="N32" s="5">
        <f t="shared" ref="N32:N42" si="23">IF(H32=0,0,L32/H32)</f>
        <v>-0.69345423840816478</v>
      </c>
      <c r="O32" s="14"/>
      <c r="P32" s="1">
        <f>SUM(OSRRefP22_1x_0)</f>
        <v>23136.42</v>
      </c>
      <c r="Q32" s="1"/>
      <c r="R32" s="5">
        <f t="shared" ref="R32:R42" si="24">IF(P$12=0,0,P32/P$12)</f>
        <v>0</v>
      </c>
      <c r="S32" s="1"/>
      <c r="T32" s="1">
        <f>SUM(OSRRefT22_1x_0)</f>
        <v>42704.350000000006</v>
      </c>
      <c r="U32" s="1"/>
      <c r="V32" s="5">
        <f t="shared" ref="V32:V42" si="25">IF(T$12=0,0,T32/T$12)</f>
        <v>0.82104802737829741</v>
      </c>
      <c r="W32" s="1"/>
      <c r="X32" s="1">
        <f t="shared" ref="X32:X42" si="26">+P32-T32</f>
        <v>-19567.930000000008</v>
      </c>
      <c r="Y32" s="1"/>
      <c r="Z32" s="5">
        <f t="shared" ref="Z32:Z42" si="27">IF(T32=0,0,X32/T32)</f>
        <v>-0.45821865922324084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0"/>
        <v>0</v>
      </c>
      <c r="G33" s="2"/>
      <c r="H33" s="6">
        <v>5287.7</v>
      </c>
      <c r="I33" s="2"/>
      <c r="J33" s="7">
        <f t="shared" si="21"/>
        <v>0.4490615711252654</v>
      </c>
      <c r="K33" s="2"/>
      <c r="L33" s="6">
        <f t="shared" si="22"/>
        <v>-5287.7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29082.350000000002</v>
      </c>
      <c r="U33" s="2"/>
      <c r="V33" s="7">
        <f t="shared" si="25"/>
        <v>0.55914692763208496</v>
      </c>
      <c r="W33" s="2"/>
      <c r="X33" s="6">
        <f t="shared" si="26"/>
        <v>-29082.350000000002</v>
      </c>
      <c r="Y33" s="2"/>
      <c r="Z33" s="7">
        <f t="shared" si="27"/>
        <v>-1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6">
        <v>2505</v>
      </c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2505</v>
      </c>
      <c r="M34" s="2"/>
      <c r="N34" s="7">
        <f t="shared" si="23"/>
        <v>0</v>
      </c>
      <c r="O34" s="11"/>
      <c r="P34" s="6">
        <v>23136.42</v>
      </c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23136.42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0"/>
        <v>0</v>
      </c>
      <c r="G36" s="2"/>
      <c r="H36" s="6">
        <v>882</v>
      </c>
      <c r="I36" s="2"/>
      <c r="J36" s="7">
        <f t="shared" si="21"/>
        <v>7.4904458598726117E-2</v>
      </c>
      <c r="K36" s="2"/>
      <c r="L36" s="6">
        <f t="shared" si="22"/>
        <v>-882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4270</v>
      </c>
      <c r="U36" s="2"/>
      <c r="V36" s="7">
        <f t="shared" si="25"/>
        <v>8.2096439283242326E-2</v>
      </c>
      <c r="W36" s="2"/>
      <c r="X36" s="6">
        <f t="shared" si="26"/>
        <v>-4270</v>
      </c>
      <c r="Y36" s="2"/>
      <c r="Z36" s="7">
        <f t="shared" si="27"/>
        <v>-1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0"/>
        <v>0</v>
      </c>
      <c r="G37" s="2"/>
      <c r="H37" s="6">
        <v>2002</v>
      </c>
      <c r="I37" s="2"/>
      <c r="J37" s="7">
        <f t="shared" si="21"/>
        <v>0.1700212314225053</v>
      </c>
      <c r="K37" s="2"/>
      <c r="L37" s="6">
        <f t="shared" si="22"/>
        <v>-2002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9352</v>
      </c>
      <c r="U37" s="2"/>
      <c r="V37" s="7">
        <f t="shared" si="25"/>
        <v>0.17980466046297008</v>
      </c>
      <c r="W37" s="2"/>
      <c r="X37" s="6">
        <f t="shared" si="26"/>
        <v>-9352</v>
      </c>
      <c r="Y37" s="2"/>
      <c r="Z37" s="7">
        <f t="shared" si="27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9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8.4925690021231421E-3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500</v>
      </c>
      <c r="U43" s="1"/>
      <c r="V43" s="5">
        <f t="shared" ref="V43:V53" si="33">IF(T$12=0,0,T43/T$12)</f>
        <v>9.6131661924171337E-3</v>
      </c>
      <c r="W43" s="1"/>
      <c r="X43" s="1">
        <f t="shared" ref="X43:X53" si="34">+P43-T43</f>
        <v>-500</v>
      </c>
      <c r="Y43" s="1"/>
      <c r="Z43" s="5">
        <f t="shared" ref="Z43:Z53" si="35">IF(T43=0,0,X43/T43)</f>
        <v>-1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8"/>
        <v>0</v>
      </c>
      <c r="G44" s="2"/>
      <c r="H44" s="6">
        <v>100</v>
      </c>
      <c r="I44" s="2"/>
      <c r="J44" s="7">
        <f t="shared" si="29"/>
        <v>8.4925690021231421E-3</v>
      </c>
      <c r="K44" s="2"/>
      <c r="L44" s="6">
        <f t="shared" si="30"/>
        <v>-100</v>
      </c>
      <c r="M44" s="2"/>
      <c r="N44" s="7">
        <f t="shared" si="31"/>
        <v>-1</v>
      </c>
      <c r="O44" s="11"/>
      <c r="P44" s="6"/>
      <c r="Q44" s="2"/>
      <c r="R44" s="7">
        <f t="shared" si="32"/>
        <v>0</v>
      </c>
      <c r="S44" s="2"/>
      <c r="T44" s="6">
        <v>500</v>
      </c>
      <c r="U44" s="2"/>
      <c r="V44" s="7">
        <f t="shared" si="33"/>
        <v>9.6131661924171337E-3</v>
      </c>
      <c r="W44" s="2"/>
      <c r="X44" s="6">
        <f t="shared" si="34"/>
        <v>-500</v>
      </c>
      <c r="Y44" s="2"/>
      <c r="Z44" s="7">
        <f t="shared" si="35"/>
        <v>-1</v>
      </c>
    </row>
    <row r="45" spans="1:26" s="29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744</v>
      </c>
      <c r="I45" s="1"/>
      <c r="J45" s="5">
        <f t="shared" si="29"/>
        <v>6.3184713375796175E-2</v>
      </c>
      <c r="K45" s="1"/>
      <c r="L45" s="1">
        <f t="shared" si="30"/>
        <v>-744</v>
      </c>
      <c r="M45" s="1"/>
      <c r="N45" s="5">
        <f t="shared" si="31"/>
        <v>-1</v>
      </c>
      <c r="O45" s="14"/>
      <c r="P45" s="1">
        <f>SUM(OSRRefP22_3x_0)</f>
        <v>240</v>
      </c>
      <c r="Q45" s="1"/>
      <c r="R45" s="5">
        <f t="shared" si="32"/>
        <v>0</v>
      </c>
      <c r="S45" s="1"/>
      <c r="T45" s="1">
        <f>SUM(OSRRefT22_3x_0)</f>
        <v>3186</v>
      </c>
      <c r="U45" s="1"/>
      <c r="V45" s="5">
        <f t="shared" si="33"/>
        <v>6.125509497808198E-2</v>
      </c>
      <c r="W45" s="1"/>
      <c r="X45" s="1">
        <f t="shared" si="34"/>
        <v>-2946</v>
      </c>
      <c r="Y45" s="1"/>
      <c r="Z45" s="5">
        <f t="shared" si="35"/>
        <v>-0.92467043314500941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8"/>
        <v>0</v>
      </c>
      <c r="G46" s="2"/>
      <c r="H46" s="6">
        <v>744</v>
      </c>
      <c r="I46" s="2"/>
      <c r="J46" s="7">
        <f t="shared" si="29"/>
        <v>6.3184713375796175E-2</v>
      </c>
      <c r="K46" s="2"/>
      <c r="L46" s="6">
        <f t="shared" si="30"/>
        <v>-744</v>
      </c>
      <c r="M46" s="2"/>
      <c r="N46" s="7">
        <f t="shared" si="31"/>
        <v>-1</v>
      </c>
      <c r="O46" s="11"/>
      <c r="P46" s="6">
        <v>240</v>
      </c>
      <c r="Q46" s="2"/>
      <c r="R46" s="7">
        <f t="shared" si="32"/>
        <v>0</v>
      </c>
      <c r="S46" s="2"/>
      <c r="T46" s="6">
        <v>3186</v>
      </c>
      <c r="U46" s="2"/>
      <c r="V46" s="7">
        <f t="shared" si="33"/>
        <v>6.125509497808198E-2</v>
      </c>
      <c r="W46" s="2"/>
      <c r="X46" s="6">
        <f t="shared" si="34"/>
        <v>-2946</v>
      </c>
      <c r="Y46" s="2"/>
      <c r="Z46" s="7">
        <f t="shared" si="35"/>
        <v>-0.92467043314500941</v>
      </c>
    </row>
    <row r="47" spans="1:26" s="29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9.9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9.9</v>
      </c>
      <c r="M47" s="1"/>
      <c r="N47" s="5">
        <f t="shared" si="31"/>
        <v>0</v>
      </c>
      <c r="O47" s="14"/>
      <c r="P47" s="1">
        <f>SUM(OSRRefP22_4x_0)</f>
        <v>105.33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105.33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"6305", " - ", "FREIGHT OUT")</f>
        <v xml:space="preserve">          6305 - FREIGHT OUT</v>
      </c>
      <c r="C48" s="11"/>
      <c r="D48" s="6">
        <v>9.9</v>
      </c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9.9</v>
      </c>
      <c r="M48" s="2"/>
      <c r="N48" s="7">
        <f t="shared" si="31"/>
        <v>0</v>
      </c>
      <c r="O48" s="11"/>
      <c r="P48" s="6">
        <v>105.33</v>
      </c>
      <c r="Q48" s="2"/>
      <c r="R48" s="7">
        <f t="shared" si="32"/>
        <v>0</v>
      </c>
      <c r="S48" s="2"/>
      <c r="T48" s="6"/>
      <c r="U48" s="2"/>
      <c r="V48" s="7">
        <f t="shared" si="33"/>
        <v>0</v>
      </c>
      <c r="W48" s="2"/>
      <c r="X48" s="6">
        <f t="shared" si="34"/>
        <v>105.33</v>
      </c>
      <c r="Y48" s="2"/>
      <c r="Z48" s="7">
        <f t="shared" si="35"/>
        <v>0</v>
      </c>
    </row>
    <row r="49" spans="1:26" s="29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2.5955548719526263E-2</v>
      </c>
      <c r="W49" s="1"/>
      <c r="X49" s="1">
        <f t="shared" si="34"/>
        <v>-1350</v>
      </c>
      <c r="Y49" s="1"/>
      <c r="Z49" s="5">
        <f t="shared" si="35"/>
        <v>-1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1350</v>
      </c>
      <c r="U50" s="2"/>
      <c r="V50" s="7">
        <f t="shared" si="33"/>
        <v>2.5955548719526263E-2</v>
      </c>
      <c r="W50" s="2"/>
      <c r="X50" s="6">
        <f t="shared" si="34"/>
        <v>-1350</v>
      </c>
      <c r="Y50" s="2"/>
      <c r="Z50" s="7">
        <f t="shared" si="35"/>
        <v>-1</v>
      </c>
    </row>
    <row r="51" spans="1:26" s="29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2.9723991507431E-3</v>
      </c>
      <c r="K51" s="1"/>
      <c r="L51" s="1">
        <f t="shared" si="30"/>
        <v>-35</v>
      </c>
      <c r="M51" s="1"/>
      <c r="N51" s="5">
        <f t="shared" si="31"/>
        <v>-1</v>
      </c>
      <c r="O51" s="14"/>
      <c r="P51" s="1">
        <f>SUM(OSRRefP22_6x_0)</f>
        <v>24.12</v>
      </c>
      <c r="Q51" s="1"/>
      <c r="R51" s="5">
        <f t="shared" si="32"/>
        <v>0</v>
      </c>
      <c r="S51" s="1"/>
      <c r="T51" s="1">
        <f>SUM(OSRRefT22_6x_0)</f>
        <v>140</v>
      </c>
      <c r="U51" s="1"/>
      <c r="V51" s="5">
        <f t="shared" si="33"/>
        <v>2.6916865338767978E-3</v>
      </c>
      <c r="W51" s="1"/>
      <c r="X51" s="1">
        <f t="shared" si="34"/>
        <v>-115.88</v>
      </c>
      <c r="Y51" s="1"/>
      <c r="Z51" s="5">
        <f t="shared" si="35"/>
        <v>-0.82771428571428574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24.12</v>
      </c>
      <c r="Q52" s="2"/>
      <c r="R52" s="7">
        <f t="shared" si="32"/>
        <v>0</v>
      </c>
      <c r="S52" s="2"/>
      <c r="T52" s="6"/>
      <c r="U52" s="2"/>
      <c r="V52" s="7">
        <f t="shared" si="33"/>
        <v>0</v>
      </c>
      <c r="W52" s="2"/>
      <c r="X52" s="6">
        <f t="shared" si="34"/>
        <v>24.12</v>
      </c>
      <c r="Y52" s="2"/>
      <c r="Z52" s="7">
        <f t="shared" si="35"/>
        <v>0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8"/>
        <v>0</v>
      </c>
      <c r="G53" s="2"/>
      <c r="H53" s="6">
        <v>35</v>
      </c>
      <c r="I53" s="2"/>
      <c r="J53" s="7">
        <f t="shared" si="29"/>
        <v>2.9723991507431E-3</v>
      </c>
      <c r="K53" s="2"/>
      <c r="L53" s="6">
        <f t="shared" si="30"/>
        <v>-35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140</v>
      </c>
      <c r="U53" s="2"/>
      <c r="V53" s="7">
        <f t="shared" si="33"/>
        <v>2.6916865338767978E-3</v>
      </c>
      <c r="W53" s="2"/>
      <c r="X53" s="6">
        <f t="shared" si="34"/>
        <v>-140</v>
      </c>
      <c r="Y53" s="2"/>
      <c r="Z53" s="7">
        <f t="shared" si="35"/>
        <v>-1</v>
      </c>
    </row>
    <row r="54" spans="1:26" s="29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1.3842887473460722E-2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815</v>
      </c>
      <c r="U54" s="1"/>
      <c r="V54" s="5">
        <f t="shared" ref="V54:V59" si="41">IF(T$12=0,0,T54/T$12)</f>
        <v>1.5669460893639929E-2</v>
      </c>
      <c r="W54" s="1"/>
      <c r="X54" s="1">
        <f t="shared" ref="X54:X59" si="42">+P54-T54</f>
        <v>-815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8"/>
      <c r="B55" s="11" t="str">
        <f>CONCATENATE("          ", "6285", " - ", "JANITORIAL SERVICES")</f>
        <v xml:space="preserve">          6285 - JANITORIAL SERVICES</v>
      </c>
      <c r="C55" s="11"/>
      <c r="D55" s="6"/>
      <c r="E55" s="2"/>
      <c r="F55" s="7">
        <f t="shared" si="36"/>
        <v>0</v>
      </c>
      <c r="G55" s="2"/>
      <c r="H55" s="6">
        <v>163</v>
      </c>
      <c r="I55" s="2"/>
      <c r="J55" s="7">
        <f t="shared" si="37"/>
        <v>1.3842887473460722E-2</v>
      </c>
      <c r="K55" s="2"/>
      <c r="L55" s="6">
        <f t="shared" si="38"/>
        <v>-163</v>
      </c>
      <c r="M55" s="2"/>
      <c r="N55" s="7">
        <f t="shared" si="39"/>
        <v>-1</v>
      </c>
      <c r="O55" s="11"/>
      <c r="P55" s="6"/>
      <c r="Q55" s="2"/>
      <c r="R55" s="7">
        <f t="shared" si="40"/>
        <v>0</v>
      </c>
      <c r="S55" s="2"/>
      <c r="T55" s="6">
        <v>815</v>
      </c>
      <c r="U55" s="2"/>
      <c r="V55" s="7">
        <f t="shared" si="41"/>
        <v>1.5669460893639929E-2</v>
      </c>
      <c r="W55" s="2"/>
      <c r="X55" s="6">
        <f t="shared" si="42"/>
        <v>-815</v>
      </c>
      <c r="Y55" s="2"/>
      <c r="Z55" s="7">
        <f t="shared" si="43"/>
        <v>-1</v>
      </c>
    </row>
    <row r="56" spans="1:26" s="29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410</v>
      </c>
      <c r="I56" s="1"/>
      <c r="J56" s="5">
        <f t="shared" si="37"/>
        <v>3.4819532908704882E-2</v>
      </c>
      <c r="K56" s="1"/>
      <c r="L56" s="1">
        <f t="shared" si="38"/>
        <v>-410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2150</v>
      </c>
      <c r="U56" s="1"/>
      <c r="V56" s="5">
        <f t="shared" si="41"/>
        <v>4.1336614627393679E-2</v>
      </c>
      <c r="W56" s="1"/>
      <c r="X56" s="1">
        <f t="shared" si="42"/>
        <v>-2150</v>
      </c>
      <c r="Y56" s="1"/>
      <c r="Z56" s="5">
        <f t="shared" si="43"/>
        <v>-1</v>
      </c>
    </row>
    <row r="57" spans="1:26" s="24" customFormat="1" hidden="1" outlineLevel="2" x14ac:dyDescent="0.25">
      <c r="A57" s="28"/>
      <c r="B57" s="11" t="str">
        <f>CONCATENATE("          ", "6235", " - ", "COVID-19 EXPENSES")</f>
        <v xml:space="preserve">          6235 - COVID-19 EXPENSES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0</v>
      </c>
      <c r="Y57" s="2"/>
      <c r="Z57" s="7">
        <f t="shared" si="43"/>
        <v>0</v>
      </c>
    </row>
    <row r="58" spans="1:26" s="24" customFormat="1" hidden="1" outlineLevel="2" x14ac:dyDescent="0.25">
      <c r="A58" s="28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36"/>
        <v>0</v>
      </c>
      <c r="G58" s="2"/>
      <c r="H58" s="6">
        <v>410</v>
      </c>
      <c r="I58" s="2"/>
      <c r="J58" s="7">
        <f t="shared" si="37"/>
        <v>3.4819532908704882E-2</v>
      </c>
      <c r="K58" s="2"/>
      <c r="L58" s="6">
        <f t="shared" si="38"/>
        <v>-410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2150</v>
      </c>
      <c r="U58" s="2"/>
      <c r="V58" s="7">
        <f t="shared" si="41"/>
        <v>4.1336614627393679E-2</v>
      </c>
      <c r="W58" s="2"/>
      <c r="X58" s="6">
        <f t="shared" si="42"/>
        <v>-2150</v>
      </c>
      <c r="Y58" s="2"/>
      <c r="Z58" s="7">
        <f t="shared" si="43"/>
        <v>-1</v>
      </c>
    </row>
    <row r="59" spans="1:26" s="24" customFormat="1" hidden="1" outlineLevel="2" x14ac:dyDescent="0.25">
      <c r="A59" s="28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/>
      <c r="Q59" s="2"/>
      <c r="R59" s="7">
        <f t="shared" si="40"/>
        <v>0</v>
      </c>
      <c r="S59" s="2"/>
      <c r="T59" s="6">
        <v>0</v>
      </c>
      <c r="U59" s="2"/>
      <c r="V59" s="7">
        <f t="shared" si="41"/>
        <v>0</v>
      </c>
      <c r="W59" s="2"/>
      <c r="X59" s="6">
        <f t="shared" si="42"/>
        <v>0</v>
      </c>
      <c r="Y59" s="2"/>
      <c r="Z59" s="7">
        <f t="shared" si="43"/>
        <v>0</v>
      </c>
    </row>
    <row r="60" spans="1:26" s="29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122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1.019108280254777E-2</v>
      </c>
      <c r="K60" s="1"/>
      <c r="L60" s="1">
        <f t="shared" ref="L60:L62" si="46">+D60-H60</f>
        <v>2</v>
      </c>
      <c r="M60" s="1"/>
      <c r="N60" s="5">
        <f t="shared" ref="N60:N62" si="47">IF(H60=0,0,L60/H60)</f>
        <v>1.6666666666666666E-2</v>
      </c>
      <c r="O60" s="14"/>
      <c r="P60" s="1">
        <f>SUM(OSRRefP22_9x_0)</f>
        <v>658.35</v>
      </c>
      <c r="Q60" s="1"/>
      <c r="R60" s="5">
        <f t="shared" ref="R60:R62" si="48">IF(P$12=0,0,P60/P$12)</f>
        <v>0</v>
      </c>
      <c r="S60" s="1"/>
      <c r="T60" s="1">
        <f>SUM(OSRRefT22_9x_0)</f>
        <v>600</v>
      </c>
      <c r="U60" s="1"/>
      <c r="V60" s="5">
        <f t="shared" ref="V60:V62" si="49">IF(T$12=0,0,T60/T$12)</f>
        <v>1.1535799430900561E-2</v>
      </c>
      <c r="W60" s="1"/>
      <c r="X60" s="1">
        <f t="shared" ref="X60:X62" si="50">+P60-T60</f>
        <v>58.350000000000023</v>
      </c>
      <c r="Y60" s="1"/>
      <c r="Z60" s="5">
        <f t="shared" ref="Z60:Z62" si="51">IF(T60=0,0,X60/T60)</f>
        <v>9.7250000000000045E-2</v>
      </c>
    </row>
    <row r="61" spans="1:26" s="24" customFormat="1" hidden="1" outlineLevel="2" x14ac:dyDescent="0.25">
      <c r="A61" s="28"/>
      <c r="B61" s="11" t="str">
        <f>CONCATENATE("          ", "6303", " - ", "DATA PHONE LINES")</f>
        <v xml:space="preserve">          6303 - DATA PHONE LINES</v>
      </c>
      <c r="C61" s="11"/>
      <c r="D61" s="6"/>
      <c r="E61" s="2"/>
      <c r="F61" s="7">
        <f t="shared" si="44"/>
        <v>0</v>
      </c>
      <c r="G61" s="2"/>
      <c r="H61" s="6">
        <v>120</v>
      </c>
      <c r="I61" s="2"/>
      <c r="J61" s="7">
        <f t="shared" si="45"/>
        <v>1.019108280254777E-2</v>
      </c>
      <c r="K61" s="2"/>
      <c r="L61" s="6">
        <f t="shared" si="46"/>
        <v>-120</v>
      </c>
      <c r="M61" s="2"/>
      <c r="N61" s="7">
        <f t="shared" si="47"/>
        <v>-1</v>
      </c>
      <c r="O61" s="11"/>
      <c r="P61" s="6"/>
      <c r="Q61" s="2"/>
      <c r="R61" s="7">
        <f t="shared" si="48"/>
        <v>0</v>
      </c>
      <c r="S61" s="2"/>
      <c r="T61" s="6">
        <v>600</v>
      </c>
      <c r="U61" s="2"/>
      <c r="V61" s="7">
        <f t="shared" si="49"/>
        <v>1.1535799430900561E-2</v>
      </c>
      <c r="W61" s="2"/>
      <c r="X61" s="6">
        <f t="shared" si="50"/>
        <v>-600</v>
      </c>
      <c r="Y61" s="2"/>
      <c r="Z61" s="7">
        <f t="shared" si="51"/>
        <v>-1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6">
        <v>122</v>
      </c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122</v>
      </c>
      <c r="M62" s="2"/>
      <c r="N62" s="7">
        <f t="shared" si="47"/>
        <v>0</v>
      </c>
      <c r="O62" s="11"/>
      <c r="P62" s="6">
        <v>658.35</v>
      </c>
      <c r="Q62" s="2"/>
      <c r="R62" s="7">
        <f t="shared" si="48"/>
        <v>0</v>
      </c>
      <c r="S62" s="2"/>
      <c r="T62" s="6"/>
      <c r="U62" s="2"/>
      <c r="V62" s="7">
        <f t="shared" si="49"/>
        <v>0</v>
      </c>
      <c r="W62" s="2"/>
      <c r="X62" s="6">
        <f t="shared" si="50"/>
        <v>658.35</v>
      </c>
      <c r="Y62" s="2"/>
      <c r="Z62" s="7">
        <f t="shared" si="51"/>
        <v>0</v>
      </c>
    </row>
    <row r="63" spans="1:26" s="29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0</v>
      </c>
      <c r="Q63" s="1"/>
      <c r="R63" s="5">
        <f t="shared" ref="R63:R66" si="56">IF(P$12=0,0,P63/P$12)</f>
        <v>0</v>
      </c>
      <c r="S63" s="1"/>
      <c r="T63" s="1">
        <f>SUM(OSRRefT22_10x_0)</f>
        <v>60</v>
      </c>
      <c r="U63" s="1"/>
      <c r="V63" s="5">
        <f t="shared" ref="V63:V66" si="57">IF(T$12=0,0,T63/T$12)</f>
        <v>1.1535799430900562E-3</v>
      </c>
      <c r="W63" s="1"/>
      <c r="X63" s="1">
        <f t="shared" ref="X63:X66" si="58">+P63-T63</f>
        <v>-60</v>
      </c>
      <c r="Y63" s="1"/>
      <c r="Z63" s="5">
        <f t="shared" ref="Z63:Z66" si="59">IF(T63=0,0,X63/T63)</f>
        <v>-1</v>
      </c>
    </row>
    <row r="64" spans="1:26" s="24" customFormat="1" hidden="1" outlineLevel="2" x14ac:dyDescent="0.25">
      <c r="A64" s="28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/>
      <c r="Q64" s="2"/>
      <c r="R64" s="7">
        <f t="shared" si="56"/>
        <v>0</v>
      </c>
      <c r="S64" s="2"/>
      <c r="T64" s="6">
        <v>60</v>
      </c>
      <c r="U64" s="2"/>
      <c r="V64" s="7">
        <f t="shared" si="57"/>
        <v>1.1535799430900562E-3</v>
      </c>
      <c r="W64" s="2"/>
      <c r="X64" s="6">
        <f t="shared" si="58"/>
        <v>-60</v>
      </c>
      <c r="Y64" s="2"/>
      <c r="Z64" s="7">
        <f t="shared" si="59"/>
        <v>-1</v>
      </c>
    </row>
    <row r="65" spans="1:26" s="29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25">
      <c r="A66" s="28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52"/>
        <v>0</v>
      </c>
      <c r="G66" s="2"/>
      <c r="H66" s="6"/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1">
        <f>+D19-D21+D68</f>
        <v>-6309.5499999999993</v>
      </c>
      <c r="E70" s="13"/>
      <c r="F70" s="20">
        <f>IF(D$12=0,0,D70/D$12)</f>
        <v>0</v>
      </c>
      <c r="G70" s="13"/>
      <c r="H70" s="21">
        <f>+H19-H21+H68</f>
        <v>-7133.4364399999995</v>
      </c>
      <c r="I70" s="13"/>
      <c r="J70" s="20">
        <f>IF(H$12=0,0,H70/H$12)</f>
        <v>-0.60581201188959655</v>
      </c>
      <c r="K70" s="16"/>
      <c r="L70" s="21">
        <f>+D70-H70</f>
        <v>823.88644000000022</v>
      </c>
      <c r="M70" s="16"/>
      <c r="N70" s="20">
        <f>IF(H70=0,0,L70/H70)</f>
        <v>-0.11549642965627942</v>
      </c>
      <c r="O70" s="26"/>
      <c r="P70" s="21">
        <f>+P19-P21+P68</f>
        <v>-43361.320000000007</v>
      </c>
      <c r="Q70" s="13"/>
      <c r="R70" s="20">
        <f>IF(P$12=0,0,P70/P$12)</f>
        <v>0</v>
      </c>
      <c r="S70" s="13"/>
      <c r="T70" s="21">
        <f>+T19-T21+T68</f>
        <v>-42688.672489999997</v>
      </c>
      <c r="U70" s="13"/>
      <c r="V70" s="20">
        <f>IF(T$12=0,0,T70/T$12)</f>
        <v>-0.82074660636007069</v>
      </c>
      <c r="W70" s="16"/>
      <c r="X70" s="21">
        <f>+P70-T70</f>
        <v>-672.64751000000979</v>
      </c>
      <c r="Y70" s="16"/>
      <c r="Z70" s="20">
        <f>IF(T70=0,0,X70/T70)</f>
        <v>1.5757049136573182E-2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>
        <v>2689</v>
      </c>
      <c r="I72" s="4"/>
      <c r="J72" s="12">
        <f>IF(H$12=0,0,H72/H$12)</f>
        <v>0.22836518046709128</v>
      </c>
      <c r="K72" s="4"/>
      <c r="L72" s="4">
        <f>+D72-H72</f>
        <v>-2689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9277</v>
      </c>
      <c r="U72" s="4"/>
      <c r="V72" s="12">
        <f>IF(T$12=0,0,T72/T$12)</f>
        <v>0.1783626855341075</v>
      </c>
      <c r="W72" s="4"/>
      <c r="X72" s="4">
        <f>+P72-T72</f>
        <v>-9277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1">
        <f>+D70-D72</f>
        <v>-6309.5499999999993</v>
      </c>
      <c r="E74" s="13"/>
      <c r="F74" s="34">
        <f>IF(D$12=0,0,D74/D$12)</f>
        <v>0</v>
      </c>
      <c r="G74" s="13"/>
      <c r="H74" s="31">
        <f>+H70-H72</f>
        <v>-9822.4364399999995</v>
      </c>
      <c r="I74" s="13"/>
      <c r="J74" s="34">
        <f>IF(H$12=0,0,H74/H$12)</f>
        <v>-0.83417719235668786</v>
      </c>
      <c r="K74" s="16"/>
      <c r="L74" s="31">
        <f>D74-H74</f>
        <v>3512.8864400000002</v>
      </c>
      <c r="M74" s="16"/>
      <c r="N74" s="34">
        <f>IF(H74=0,0,L74/H74)</f>
        <v>-0.35763900957347405</v>
      </c>
      <c r="O74" s="26"/>
      <c r="P74" s="31">
        <f>+P70-P72</f>
        <v>-43361.320000000007</v>
      </c>
      <c r="Q74" s="13"/>
      <c r="R74" s="34">
        <f>IF(P$12=0,0,P74/P$12)</f>
        <v>0</v>
      </c>
      <c r="S74" s="13"/>
      <c r="T74" s="31">
        <f>+T70-T72</f>
        <v>-51965.672489999997</v>
      </c>
      <c r="U74" s="13"/>
      <c r="V74" s="34">
        <f>IF(T$12=0,0,T74/T$12)</f>
        <v>-0.99910929189417819</v>
      </c>
      <c r="W74" s="16"/>
      <c r="X74" s="31">
        <f>P74-T74</f>
        <v>8604.3524899999902</v>
      </c>
      <c r="Y74" s="16"/>
      <c r="Z74" s="34">
        <f>IF(T74=0,0,X74/T74)</f>
        <v>-0.16557762225930525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3">
        <f>SUM(D74:D76)</f>
        <v>-6309.5499999999993</v>
      </c>
      <c r="E77" s="13"/>
      <c r="F77" s="30">
        <f>IF(D$12=0,0,D77/D$12)</f>
        <v>0</v>
      </c>
      <c r="G77" s="13"/>
      <c r="H77" s="33">
        <f>SUM(H74:H76)</f>
        <v>-9822.4364399999995</v>
      </c>
      <c r="I77" s="13"/>
      <c r="J77" s="30">
        <f>IF(H$12=0,0,H77/H$12)</f>
        <v>-0.83417719235668786</v>
      </c>
      <c r="K77" s="16"/>
      <c r="L77" s="33">
        <f>+D77-H77</f>
        <v>3512.8864400000002</v>
      </c>
      <c r="M77" s="16"/>
      <c r="N77" s="30">
        <f>IF(H77=0,0,L77/H77)</f>
        <v>-0.35763900957347405</v>
      </c>
      <c r="O77" s="26"/>
      <c r="P77" s="33">
        <f>SUM(P74:P76)</f>
        <v>-43361.320000000007</v>
      </c>
      <c r="Q77" s="13"/>
      <c r="R77" s="30">
        <f>IF(P$12=0,0,P77/P$12)</f>
        <v>0</v>
      </c>
      <c r="S77" s="13"/>
      <c r="T77" s="33">
        <f>SUM(T74:T76)</f>
        <v>-51965.672489999997</v>
      </c>
      <c r="U77" s="13"/>
      <c r="V77" s="30">
        <f>IF(T$12=0,0,T77/T$12)</f>
        <v>-0.99910929189417819</v>
      </c>
      <c r="W77" s="16"/>
      <c r="X77" s="33">
        <f>+P77-T77</f>
        <v>8604.3524899999902</v>
      </c>
      <c r="Y77" s="16"/>
      <c r="Z77" s="30">
        <f>IF(T77=0,0,X77/T77)</f>
        <v>-0.16557762225930525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5">
        <v>44174.679588576386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7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3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7081</v>
      </c>
      <c r="I12" s="4"/>
      <c r="J12" s="12"/>
      <c r="K12" s="4"/>
      <c r="L12" s="4">
        <f t="shared" ref="L12:L15" si="0">+D12-H12</f>
        <v>-7081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30612</v>
      </c>
      <c r="U12" s="4"/>
      <c r="V12" s="12"/>
      <c r="W12" s="4"/>
      <c r="X12" s="4">
        <f t="shared" ref="X12:X15" si="2">+P12-T12</f>
        <v>-28135.53</v>
      </c>
      <c r="Y12" s="4"/>
      <c r="Z12" s="12">
        <f t="shared" ref="Z12:Z15" si="3">IF(T12=0,0,X12/T12)</f>
        <v>-0.91910133281066242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7081</v>
      </c>
      <c r="I14" s="2"/>
      <c r="J14" s="22"/>
      <c r="K14" s="2"/>
      <c r="L14" s="2">
        <f t="shared" si="0"/>
        <v>-7081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30612</v>
      </c>
      <c r="U14" s="2"/>
      <c r="V14" s="22"/>
      <c r="W14" s="2"/>
      <c r="X14" s="2">
        <f t="shared" si="2"/>
        <v>-30612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3682</v>
      </c>
      <c r="I17" s="4"/>
      <c r="J17" s="12">
        <f t="shared" ref="J17:J19" si="6">IF(H$12=0,0,H17/H$12)</f>
        <v>0.51998305324106764</v>
      </c>
      <c r="K17" s="4"/>
      <c r="L17" s="4">
        <f t="shared" ref="L17:L19" si="7">+D17-H17</f>
        <v>-3682</v>
      </c>
      <c r="M17" s="4"/>
      <c r="N17" s="12">
        <f t="shared" ref="N17:N19" si="8">IF(H17=0,0,L17/H17)</f>
        <v>-1</v>
      </c>
      <c r="O17" s="10"/>
      <c r="P17" s="4">
        <f>SUM(OSRRefP16x_0)</f>
        <v>-238.52</v>
      </c>
      <c r="Q17" s="4"/>
      <c r="R17" s="12">
        <f t="shared" ref="R17:R19" si="9">IF(P$12=0,0,P17/P$12)</f>
        <v>-9.6314512188720225E-2</v>
      </c>
      <c r="S17" s="4"/>
      <c r="T17" s="4">
        <f>SUM(OSRRefT16x_0)</f>
        <v>15917</v>
      </c>
      <c r="U17" s="4"/>
      <c r="V17" s="12">
        <f t="shared" ref="V17:V19" si="10">IF(T$12=0,0,T17/T$12)</f>
        <v>0.51995949300927746</v>
      </c>
      <c r="W17" s="4"/>
      <c r="X17" s="4">
        <f t="shared" ref="X17:X19" si="11">+P17-T17</f>
        <v>-16155.52</v>
      </c>
      <c r="Y17" s="4"/>
      <c r="Z17" s="12">
        <f t="shared" ref="Z17:Z19" si="12">IF(T17=0,0,X17/T17)</f>
        <v>-1.0149852359112899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3682</v>
      </c>
      <c r="I18" s="2"/>
      <c r="J18" s="22">
        <f t="shared" si="6"/>
        <v>0.51998305324106764</v>
      </c>
      <c r="K18" s="2"/>
      <c r="L18" s="2">
        <f t="shared" si="7"/>
        <v>-3682</v>
      </c>
      <c r="M18" s="2"/>
      <c r="N18" s="22">
        <f t="shared" si="8"/>
        <v>-1</v>
      </c>
      <c r="O18" s="11"/>
      <c r="P18" s="2"/>
      <c r="Q18" s="2"/>
      <c r="R18" s="22">
        <f t="shared" si="9"/>
        <v>0</v>
      </c>
      <c r="S18" s="2"/>
      <c r="T18" s="2">
        <v>15917</v>
      </c>
      <c r="U18" s="2"/>
      <c r="V18" s="22">
        <f t="shared" si="10"/>
        <v>0.51995949300927746</v>
      </c>
      <c r="W18" s="2"/>
      <c r="X18" s="2">
        <f t="shared" si="11"/>
        <v>-15917</v>
      </c>
      <c r="Y18" s="2"/>
      <c r="Z18" s="22">
        <f t="shared" si="12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0</v>
      </c>
      <c r="M19" s="2"/>
      <c r="N19" s="22">
        <f t="shared" si="8"/>
        <v>0</v>
      </c>
      <c r="O19" s="11"/>
      <c r="P19" s="2">
        <v>-238.52</v>
      </c>
      <c r="Q19" s="2"/>
      <c r="R19" s="22">
        <f t="shared" si="9"/>
        <v>-9.6314512188720225E-2</v>
      </c>
      <c r="S19" s="2"/>
      <c r="T19" s="2"/>
      <c r="U19" s="2"/>
      <c r="V19" s="22">
        <f t="shared" si="10"/>
        <v>0</v>
      </c>
      <c r="W19" s="2"/>
      <c r="X19" s="2">
        <f t="shared" si="11"/>
        <v>-238.52</v>
      </c>
      <c r="Y19" s="2"/>
      <c r="Z19" s="22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0</v>
      </c>
      <c r="E21" s="13"/>
      <c r="F21" s="20">
        <f>IF(D$12=0,0,D21/D$12)</f>
        <v>0</v>
      </c>
      <c r="G21" s="13"/>
      <c r="H21" s="21">
        <f>H12-H17</f>
        <v>3399</v>
      </c>
      <c r="I21" s="13"/>
      <c r="J21" s="20">
        <f>IF(H$12=0,0,H21/H$12)</f>
        <v>0.48001694675893236</v>
      </c>
      <c r="K21" s="16"/>
      <c r="L21" s="21">
        <f>+D21-H21</f>
        <v>-3399</v>
      </c>
      <c r="M21" s="16"/>
      <c r="N21" s="20">
        <f>IF(H21=0,0,L21/H21)</f>
        <v>-1</v>
      </c>
      <c r="O21" s="26"/>
      <c r="P21" s="21">
        <f>P12-P17</f>
        <v>2714.9900000000002</v>
      </c>
      <c r="Q21" s="13"/>
      <c r="R21" s="20">
        <f>IF(P$12=0,0,P21/P$12)</f>
        <v>1.0963145121887201</v>
      </c>
      <c r="S21" s="13"/>
      <c r="T21" s="21">
        <f>T12-T17</f>
        <v>14695</v>
      </c>
      <c r="U21" s="13"/>
      <c r="V21" s="20">
        <f>IF(T$12=0,0,T21/T$12)</f>
        <v>0.48004050699072259</v>
      </c>
      <c r="W21" s="16"/>
      <c r="X21" s="21">
        <f>+P21-T21</f>
        <v>-11980.01</v>
      </c>
      <c r="Y21" s="16"/>
      <c r="Z21" s="20">
        <f>IF(T21=0,0,X21/T21)</f>
        <v>-0.81524396053079284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SUM(OSRRefD22x_0)</f>
        <v>4495.3099999999995</v>
      </c>
      <c r="E23" s="19"/>
      <c r="F23" s="35">
        <f t="shared" ref="F23:F33" si="13">IF(D$12=0,0,D23/D$12)</f>
        <v>0</v>
      </c>
      <c r="G23" s="19"/>
      <c r="H23" s="19">
        <f>SUM(OSRRefH22x_0)</f>
        <v>7710.1843761999999</v>
      </c>
      <c r="I23" s="19"/>
      <c r="J23" s="35">
        <f t="shared" ref="J23:J33" si="14">IF(H$12=0,0,H23/H$12)</f>
        <v>1.0888552995622087</v>
      </c>
      <c r="K23" s="4"/>
      <c r="L23" s="19">
        <f t="shared" ref="L23:L33" si="15">+D23-H23</f>
        <v>-3214.8743762000004</v>
      </c>
      <c r="M23" s="4"/>
      <c r="N23" s="35">
        <f t="shared" ref="N23:N33" si="16">IF(H23=0,0,L23/H23)</f>
        <v>-0.41696465601053062</v>
      </c>
      <c r="O23" s="10"/>
      <c r="P23" s="19">
        <f>SUM(OSRRefP22x_0)</f>
        <v>32171.810000000005</v>
      </c>
      <c r="Q23" s="19"/>
      <c r="R23" s="35">
        <f t="shared" ref="R23:R33" si="17">IF(P$12=0,0,P23/P$12)</f>
        <v>12.99099524726728</v>
      </c>
      <c r="S23" s="19"/>
      <c r="T23" s="19">
        <f>SUM(OSRRefT22x_0)</f>
        <v>36420.557410499998</v>
      </c>
      <c r="U23" s="19"/>
      <c r="V23" s="35">
        <f t="shared" ref="V23:V33" si="18">IF(T$12=0,0,T23/T$12)</f>
        <v>1.1897477267248138</v>
      </c>
      <c r="W23" s="4"/>
      <c r="X23" s="19">
        <f t="shared" ref="X23:X33" si="19">+P23-T23</f>
        <v>-4248.7474104999928</v>
      </c>
      <c r="Y23" s="4"/>
      <c r="Z23" s="35">
        <f t="shared" ref="Z23:Z33" si="20">IF(T23=0,0,X23/T23)</f>
        <v>-0.11665794574783429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1358.35</v>
      </c>
      <c r="E24" s="1"/>
      <c r="F24" s="5">
        <f t="shared" si="13"/>
        <v>0</v>
      </c>
      <c r="G24" s="1"/>
      <c r="H24" s="1">
        <f>SUM(OSRRefH22_0x_0)</f>
        <v>363.44437620000002</v>
      </c>
      <c r="I24" s="1"/>
      <c r="J24" s="5">
        <f t="shared" si="14"/>
        <v>5.1326701906510383E-2</v>
      </c>
      <c r="K24" s="1"/>
      <c r="L24" s="1">
        <f t="shared" si="15"/>
        <v>994.90562379999983</v>
      </c>
      <c r="M24" s="1"/>
      <c r="N24" s="5">
        <f t="shared" si="16"/>
        <v>2.7374357369406992</v>
      </c>
      <c r="O24" s="14"/>
      <c r="P24" s="1">
        <f>SUM(OSRRefP22_0x_0)</f>
        <v>8101.4900000000007</v>
      </c>
      <c r="Q24" s="1"/>
      <c r="R24" s="5">
        <f t="shared" si="17"/>
        <v>3.2713862877402109</v>
      </c>
      <c r="S24" s="1"/>
      <c r="T24" s="1">
        <f>SUM(OSRRefT22_0x_0)</f>
        <v>1698.7074105000002</v>
      </c>
      <c r="U24" s="1"/>
      <c r="V24" s="5">
        <f t="shared" si="18"/>
        <v>5.5491552675421406E-2</v>
      </c>
      <c r="W24" s="1"/>
      <c r="X24" s="1">
        <f t="shared" si="19"/>
        <v>6402.7825895000005</v>
      </c>
      <c r="Y24" s="1"/>
      <c r="Z24" s="5">
        <f t="shared" si="20"/>
        <v>3.7692086052744043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>
        <v>159.12</v>
      </c>
      <c r="E25" s="2"/>
      <c r="F25" s="7">
        <f t="shared" si="13"/>
        <v>0</v>
      </c>
      <c r="G25" s="2"/>
      <c r="H25" s="6">
        <v>160.84616220000001</v>
      </c>
      <c r="I25" s="2"/>
      <c r="J25" s="7">
        <f t="shared" si="14"/>
        <v>2.2715176133314505E-2</v>
      </c>
      <c r="K25" s="2"/>
      <c r="L25" s="6">
        <f t="shared" si="15"/>
        <v>-1.7261622000000045</v>
      </c>
      <c r="M25" s="2"/>
      <c r="N25" s="7">
        <f t="shared" si="16"/>
        <v>-1.0731758696571527E-2</v>
      </c>
      <c r="O25" s="11"/>
      <c r="P25" s="6">
        <v>1667.09</v>
      </c>
      <c r="Q25" s="2"/>
      <c r="R25" s="7">
        <f t="shared" si="17"/>
        <v>0.67317189386505782</v>
      </c>
      <c r="S25" s="2"/>
      <c r="T25" s="6">
        <v>751.78097550000007</v>
      </c>
      <c r="U25" s="2"/>
      <c r="V25" s="7">
        <f t="shared" si="18"/>
        <v>2.4558375000000004E-2</v>
      </c>
      <c r="W25" s="2"/>
      <c r="X25" s="6">
        <f t="shared" si="19"/>
        <v>915.30902449999985</v>
      </c>
      <c r="Y25" s="2"/>
      <c r="Z25" s="7">
        <f t="shared" si="20"/>
        <v>1.217520866222026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>
        <v>23.77</v>
      </c>
      <c r="E26" s="2"/>
      <c r="F26" s="7">
        <f t="shared" si="13"/>
        <v>0</v>
      </c>
      <c r="G26" s="2"/>
      <c r="H26" s="6">
        <v>73.34769</v>
      </c>
      <c r="I26" s="2"/>
      <c r="J26" s="7">
        <f t="shared" si="14"/>
        <v>1.0358380172292049E-2</v>
      </c>
      <c r="K26" s="2"/>
      <c r="L26" s="6">
        <f t="shared" si="15"/>
        <v>-49.577690000000004</v>
      </c>
      <c r="M26" s="2"/>
      <c r="N26" s="7">
        <f t="shared" si="16"/>
        <v>-0.67592708100282373</v>
      </c>
      <c r="O26" s="11"/>
      <c r="P26" s="6">
        <v>331.61</v>
      </c>
      <c r="Q26" s="2"/>
      <c r="R26" s="7">
        <f t="shared" si="17"/>
        <v>0.13390430734069056</v>
      </c>
      <c r="S26" s="2"/>
      <c r="T26" s="6">
        <v>342.82072499999998</v>
      </c>
      <c r="U26" s="2"/>
      <c r="V26" s="7">
        <f t="shared" si="18"/>
        <v>1.119889994119953E-2</v>
      </c>
      <c r="W26" s="2"/>
      <c r="X26" s="6">
        <f t="shared" si="19"/>
        <v>-11.210724999999968</v>
      </c>
      <c r="Y26" s="2"/>
      <c r="Z26" s="7">
        <f t="shared" si="20"/>
        <v>-3.2701421420773112E-2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>
        <v>683.68</v>
      </c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683.68</v>
      </c>
      <c r="M27" s="2"/>
      <c r="N27" s="7">
        <f t="shared" si="16"/>
        <v>0</v>
      </c>
      <c r="O27" s="11"/>
      <c r="P27" s="6">
        <v>2734.72</v>
      </c>
      <c r="Q27" s="2"/>
      <c r="R27" s="7">
        <f t="shared" si="17"/>
        <v>1.1042814974540371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2734.72</v>
      </c>
      <c r="Y27" s="2"/>
      <c r="Z27" s="7">
        <f t="shared" si="20"/>
        <v>0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18.73</v>
      </c>
      <c r="E28" s="2"/>
      <c r="F28" s="7">
        <f t="shared" si="13"/>
        <v>0</v>
      </c>
      <c r="G28" s="2"/>
      <c r="H28" s="6">
        <v>10.308324000000001</v>
      </c>
      <c r="I28" s="2"/>
      <c r="J28" s="7">
        <f t="shared" si="14"/>
        <v>1.4557723485383422E-3</v>
      </c>
      <c r="K28" s="2"/>
      <c r="L28" s="6">
        <f t="shared" si="15"/>
        <v>8.4216759999999997</v>
      </c>
      <c r="M28" s="2"/>
      <c r="N28" s="7">
        <f t="shared" si="16"/>
        <v>0.81697820130605125</v>
      </c>
      <c r="O28" s="11"/>
      <c r="P28" s="6">
        <v>62.01</v>
      </c>
      <c r="Q28" s="2"/>
      <c r="R28" s="7">
        <f t="shared" si="17"/>
        <v>2.5039673406098192E-2</v>
      </c>
      <c r="S28" s="2"/>
      <c r="T28" s="6">
        <v>48.180210000000002</v>
      </c>
      <c r="U28" s="2"/>
      <c r="V28" s="7">
        <f t="shared" si="18"/>
        <v>1.5738994511956097E-3</v>
      </c>
      <c r="W28" s="2"/>
      <c r="X28" s="6">
        <f t="shared" si="19"/>
        <v>13.829789999999996</v>
      </c>
      <c r="Y28" s="2"/>
      <c r="Z28" s="7">
        <f t="shared" si="20"/>
        <v>0.28704295809420494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>
        <v>257.25</v>
      </c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257.25</v>
      </c>
      <c r="M29" s="2"/>
      <c r="N29" s="7">
        <f t="shared" si="16"/>
        <v>0</v>
      </c>
      <c r="O29" s="11"/>
      <c r="P29" s="6">
        <v>1254.1099999999999</v>
      </c>
      <c r="Q29" s="2"/>
      <c r="R29" s="7">
        <f t="shared" si="17"/>
        <v>0.50641033406421232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1254.1099999999999</v>
      </c>
      <c r="Y29" s="2"/>
      <c r="Z29" s="7">
        <f t="shared" si="20"/>
        <v>0</v>
      </c>
    </row>
    <row r="30" spans="1:26" s="24" customFormat="1" hidden="1" outlineLevel="2" x14ac:dyDescent="0.25">
      <c r="A30" s="28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>
        <v>119.86</v>
      </c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119.86</v>
      </c>
      <c r="M31" s="2"/>
      <c r="N31" s="7">
        <f t="shared" si="16"/>
        <v>0</v>
      </c>
      <c r="O31" s="11"/>
      <c r="P31" s="6">
        <v>958.88</v>
      </c>
      <c r="Q31" s="2"/>
      <c r="R31" s="7">
        <f t="shared" si="17"/>
        <v>0.38719629149555612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958.88</v>
      </c>
      <c r="Y31" s="2"/>
      <c r="Z31" s="7">
        <f t="shared" si="20"/>
        <v>0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>
        <v>95.94</v>
      </c>
      <c r="E32" s="2"/>
      <c r="F32" s="7">
        <f t="shared" si="13"/>
        <v>0</v>
      </c>
      <c r="G32" s="2"/>
      <c r="H32" s="6">
        <v>118.9422</v>
      </c>
      <c r="I32" s="2"/>
      <c r="J32" s="7">
        <f t="shared" si="14"/>
        <v>1.6797373252365484E-2</v>
      </c>
      <c r="K32" s="2"/>
      <c r="L32" s="6">
        <f t="shared" si="15"/>
        <v>-23.002200000000002</v>
      </c>
      <c r="M32" s="2"/>
      <c r="N32" s="7">
        <f t="shared" si="16"/>
        <v>-0.19338973047412947</v>
      </c>
      <c r="O32" s="11"/>
      <c r="P32" s="6">
        <v>767.52</v>
      </c>
      <c r="Q32" s="2"/>
      <c r="R32" s="7">
        <f t="shared" si="17"/>
        <v>0.30992501423397006</v>
      </c>
      <c r="S32" s="2"/>
      <c r="T32" s="6">
        <v>555.92550000000006</v>
      </c>
      <c r="U32" s="2"/>
      <c r="V32" s="7">
        <f t="shared" si="18"/>
        <v>1.8160378283026267E-2</v>
      </c>
      <c r="W32" s="2"/>
      <c r="X32" s="6">
        <f t="shared" si="19"/>
        <v>211.59449999999993</v>
      </c>
      <c r="Y32" s="2"/>
      <c r="Z32" s="7">
        <f t="shared" si="20"/>
        <v>0.38061664737451312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6"/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>
        <v>325.55</v>
      </c>
      <c r="Q33" s="2"/>
      <c r="R33" s="7">
        <f t="shared" si="17"/>
        <v>0.13145727588058809</v>
      </c>
      <c r="S33" s="2"/>
      <c r="T33" s="6"/>
      <c r="U33" s="2"/>
      <c r="V33" s="7">
        <f t="shared" si="18"/>
        <v>0</v>
      </c>
      <c r="W33" s="2"/>
      <c r="X33" s="6">
        <f t="shared" si="19"/>
        <v>325.55</v>
      </c>
      <c r="Y33" s="2"/>
      <c r="Z33" s="7">
        <f t="shared" si="20"/>
        <v>0</v>
      </c>
    </row>
    <row r="34" spans="1:26" s="29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1664</v>
      </c>
      <c r="E34" s="1"/>
      <c r="F34" s="5">
        <f t="shared" ref="F34:F44" si="21">IF(D$12=0,0,D34/D$12)</f>
        <v>0</v>
      </c>
      <c r="G34" s="1"/>
      <c r="H34" s="1">
        <f>SUM(OSRRefH22_1x_0)</f>
        <v>3964.74</v>
      </c>
      <c r="I34" s="1"/>
      <c r="J34" s="5">
        <f t="shared" ref="J34:J44" si="22">IF(H$12=0,0,H34/H$12)</f>
        <v>0.55991244174551613</v>
      </c>
      <c r="K34" s="1"/>
      <c r="L34" s="1">
        <f t="shared" ref="L34:L44" si="23">+D34-H34</f>
        <v>-2300.7399999999998</v>
      </c>
      <c r="M34" s="1"/>
      <c r="N34" s="5">
        <f t="shared" ref="N34:N44" si="24">IF(H34=0,0,L34/H34)</f>
        <v>-0.58030034756377469</v>
      </c>
      <c r="O34" s="14"/>
      <c r="P34" s="1">
        <f>SUM(OSRRefP22_1x_0)</f>
        <v>15859.96</v>
      </c>
      <c r="Q34" s="1"/>
      <c r="R34" s="5">
        <f t="shared" ref="R34:R44" si="25">IF(P$12=0,0,P34/P$12)</f>
        <v>6.404260903624917</v>
      </c>
      <c r="S34" s="1"/>
      <c r="T34" s="1">
        <f>SUM(OSRRefT22_1x_0)</f>
        <v>18530.849999999999</v>
      </c>
      <c r="U34" s="1"/>
      <c r="V34" s="5">
        <f t="shared" ref="V34:V44" si="26">IF(T$12=0,0,T34/T$12)</f>
        <v>0.60534594276754206</v>
      </c>
      <c r="W34" s="1"/>
      <c r="X34" s="1">
        <f t="shared" ref="X34:X44" si="27">+P34-T34</f>
        <v>-2670.8899999999994</v>
      </c>
      <c r="Y34" s="1"/>
      <c r="Z34" s="5">
        <f t="shared" ref="Z34:Z44" si="28">IF(T34=0,0,X34/T34)</f>
        <v>-0.14413208244629899</v>
      </c>
    </row>
    <row r="35" spans="1:26" s="24" customFormat="1" hidden="1" outlineLevel="2" x14ac:dyDescent="0.25">
      <c r="A35" s="28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6">
        <v>1664</v>
      </c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1664</v>
      </c>
      <c r="M36" s="2"/>
      <c r="N36" s="7">
        <f t="shared" si="24"/>
        <v>0</v>
      </c>
      <c r="O36" s="11"/>
      <c r="P36" s="6">
        <v>13728</v>
      </c>
      <c r="Q36" s="2"/>
      <c r="R36" s="7">
        <f t="shared" si="25"/>
        <v>5.5433742383311726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13728</v>
      </c>
      <c r="Y36" s="2"/>
      <c r="Z36" s="7">
        <f t="shared" si="28"/>
        <v>0</v>
      </c>
    </row>
    <row r="37" spans="1:26" s="24" customFormat="1" hidden="1" outlineLevel="2" x14ac:dyDescent="0.25">
      <c r="A37" s="28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8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2101.7399999999998</v>
      </c>
      <c r="I38" s="2"/>
      <c r="J38" s="7">
        <f t="shared" si="22"/>
        <v>0.29681400932071739</v>
      </c>
      <c r="K38" s="2"/>
      <c r="L38" s="6">
        <f t="shared" si="23"/>
        <v>-2101.7399999999998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9823.35</v>
      </c>
      <c r="U38" s="2"/>
      <c r="V38" s="7">
        <f t="shared" si="26"/>
        <v>0.32089866718933752</v>
      </c>
      <c r="W38" s="2"/>
      <c r="X38" s="6">
        <f t="shared" si="27"/>
        <v>-9823.35</v>
      </c>
      <c r="Y38" s="2"/>
      <c r="Z38" s="7">
        <f t="shared" si="28"/>
        <v>-1</v>
      </c>
    </row>
    <row r="39" spans="1:26" s="24" customFormat="1" hidden="1" outlineLevel="2" x14ac:dyDescent="0.25">
      <c r="A39" s="28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2131.96</v>
      </c>
      <c r="Q39" s="2"/>
      <c r="R39" s="7">
        <f t="shared" si="25"/>
        <v>0.86088666529374469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2131.96</v>
      </c>
      <c r="Y39" s="2"/>
      <c r="Z39" s="7">
        <f t="shared" si="28"/>
        <v>0</v>
      </c>
    </row>
    <row r="40" spans="1:26" s="24" customFormat="1" hidden="1" outlineLevel="2" x14ac:dyDescent="0.25">
      <c r="A40" s="28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8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0</v>
      </c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8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1863</v>
      </c>
      <c r="I42" s="2"/>
      <c r="J42" s="7">
        <f t="shared" si="22"/>
        <v>0.26309843242479874</v>
      </c>
      <c r="K42" s="2"/>
      <c r="L42" s="6">
        <f t="shared" si="23"/>
        <v>-1863</v>
      </c>
      <c r="M42" s="2"/>
      <c r="N42" s="7">
        <f t="shared" si="24"/>
        <v>-1</v>
      </c>
      <c r="O42" s="11"/>
      <c r="P42" s="6"/>
      <c r="Q42" s="2"/>
      <c r="R42" s="7">
        <f t="shared" si="25"/>
        <v>0</v>
      </c>
      <c r="S42" s="2"/>
      <c r="T42" s="6">
        <v>8707.5</v>
      </c>
      <c r="U42" s="2"/>
      <c r="V42" s="7">
        <f t="shared" si="26"/>
        <v>0.28444727557820465</v>
      </c>
      <c r="W42" s="2"/>
      <c r="X42" s="6">
        <f t="shared" si="27"/>
        <v>-8707.5</v>
      </c>
      <c r="Y42" s="2"/>
      <c r="Z42" s="7">
        <f t="shared" si="28"/>
        <v>-1</v>
      </c>
    </row>
    <row r="43" spans="1:26" s="24" customFormat="1" hidden="1" outlineLevel="2" x14ac:dyDescent="0.25">
      <c r="A43" s="28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8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9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100</v>
      </c>
      <c r="I45" s="1"/>
      <c r="J45" s="5">
        <f t="shared" ref="J45:J57" si="30">IF(H$12=0,0,H45/H$12)</f>
        <v>1.4122299110295156E-2</v>
      </c>
      <c r="K45" s="1"/>
      <c r="L45" s="1">
        <f t="shared" ref="L45:L57" si="31">+D45-H45</f>
        <v>-100</v>
      </c>
      <c r="M45" s="1"/>
      <c r="N45" s="5">
        <f t="shared" ref="N45:N57" si="32">IF(H45=0,0,L45/H45)</f>
        <v>-1</v>
      </c>
      <c r="O45" s="14"/>
      <c r="P45" s="1">
        <f>SUM(OSRRefP22_2x_0)</f>
        <v>0</v>
      </c>
      <c r="Q45" s="1"/>
      <c r="R45" s="5">
        <f t="shared" ref="R45:R57" si="33">IF(P$12=0,0,P45/P$12)</f>
        <v>0</v>
      </c>
      <c r="S45" s="1"/>
      <c r="T45" s="1">
        <f>SUM(OSRRefT22_2x_0)</f>
        <v>400</v>
      </c>
      <c r="U45" s="1"/>
      <c r="V45" s="5">
        <f t="shared" ref="V45:V57" si="34">IF(T$12=0,0,T45/T$12)</f>
        <v>1.3066771200836273E-2</v>
      </c>
      <c r="W45" s="1"/>
      <c r="X45" s="1">
        <f t="shared" ref="X45:X57" si="35">+P45-T45</f>
        <v>-400</v>
      </c>
      <c r="Y45" s="1"/>
      <c r="Z45" s="5">
        <f t="shared" ref="Z45:Z57" si="36">IF(T45=0,0,X45/T45)</f>
        <v>-1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100</v>
      </c>
      <c r="I46" s="2"/>
      <c r="J46" s="7">
        <f t="shared" si="30"/>
        <v>1.4122299110295156E-2</v>
      </c>
      <c r="K46" s="2"/>
      <c r="L46" s="6">
        <f t="shared" si="31"/>
        <v>-100</v>
      </c>
      <c r="M46" s="2"/>
      <c r="N46" s="7">
        <f t="shared" si="32"/>
        <v>-1</v>
      </c>
      <c r="O46" s="11"/>
      <c r="P46" s="6"/>
      <c r="Q46" s="2"/>
      <c r="R46" s="7">
        <f t="shared" si="33"/>
        <v>0</v>
      </c>
      <c r="S46" s="2"/>
      <c r="T46" s="6">
        <v>400</v>
      </c>
      <c r="U46" s="2"/>
      <c r="V46" s="7">
        <f t="shared" si="34"/>
        <v>1.3066771200836273E-2</v>
      </c>
      <c r="W46" s="2"/>
      <c r="X46" s="6">
        <f t="shared" si="35"/>
        <v>-400</v>
      </c>
      <c r="Y46" s="2"/>
      <c r="Z46" s="7">
        <f t="shared" si="36"/>
        <v>-1</v>
      </c>
    </row>
    <row r="47" spans="1:26" s="29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4"/>
      <c r="P47" s="1">
        <f>SUM(OSRRefP22_3x_0)</f>
        <v>3.31</v>
      </c>
      <c r="Q47" s="1"/>
      <c r="R47" s="5">
        <f t="shared" si="33"/>
        <v>1.3365798899239642E-3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3.31</v>
      </c>
      <c r="Y47" s="1"/>
      <c r="Z47" s="5">
        <f t="shared" si="36"/>
        <v>0</v>
      </c>
    </row>
    <row r="48" spans="1:26" s="24" customFormat="1" hidden="1" outlineLevel="2" x14ac:dyDescent="0.25">
      <c r="A48" s="28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3.31</v>
      </c>
      <c r="Q48" s="2"/>
      <c r="R48" s="7">
        <f t="shared" si="33"/>
        <v>1.3365798899239642E-3</v>
      </c>
      <c r="S48" s="2"/>
      <c r="T48" s="6"/>
      <c r="U48" s="2"/>
      <c r="V48" s="7">
        <f t="shared" si="34"/>
        <v>0</v>
      </c>
      <c r="W48" s="2"/>
      <c r="X48" s="6">
        <f t="shared" si="35"/>
        <v>3.31</v>
      </c>
      <c r="Y48" s="2"/>
      <c r="Z48" s="7">
        <f t="shared" si="36"/>
        <v>0</v>
      </c>
    </row>
    <row r="49" spans="1:26" s="29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205.09</v>
      </c>
      <c r="E49" s="1"/>
      <c r="F49" s="5">
        <f t="shared" si="29"/>
        <v>0</v>
      </c>
      <c r="G49" s="1"/>
      <c r="H49" s="1">
        <f>SUM(OSRRefH22_4x_0)</f>
        <v>448</v>
      </c>
      <c r="I49" s="1"/>
      <c r="J49" s="5">
        <f t="shared" si="30"/>
        <v>6.3267900014122302E-2</v>
      </c>
      <c r="K49" s="1"/>
      <c r="L49" s="1">
        <f t="shared" si="31"/>
        <v>-242.91</v>
      </c>
      <c r="M49" s="1"/>
      <c r="N49" s="5">
        <f t="shared" si="32"/>
        <v>-0.54220982142857144</v>
      </c>
      <c r="O49" s="14"/>
      <c r="P49" s="1">
        <f>SUM(OSRRefP22_4x_0)</f>
        <v>399.33</v>
      </c>
      <c r="Q49" s="1"/>
      <c r="R49" s="5">
        <f t="shared" si="33"/>
        <v>0.16124968200705034</v>
      </c>
      <c r="S49" s="1"/>
      <c r="T49" s="1">
        <f>SUM(OSRRefT22_4x_0)</f>
        <v>1890</v>
      </c>
      <c r="U49" s="1"/>
      <c r="V49" s="5">
        <f t="shared" si="34"/>
        <v>6.1740493923951395E-2</v>
      </c>
      <c r="W49" s="1"/>
      <c r="X49" s="1">
        <f t="shared" si="35"/>
        <v>-1490.67</v>
      </c>
      <c r="Y49" s="1"/>
      <c r="Z49" s="5">
        <f t="shared" si="36"/>
        <v>-0.7887142857142857</v>
      </c>
    </row>
    <row r="50" spans="1:26" s="24" customFormat="1" hidden="1" outlineLevel="2" x14ac:dyDescent="0.25">
      <c r="A50" s="28"/>
      <c r="B50" s="11" t="str">
        <f>CONCATENATE("          ", "6381", " - ", "BANK/CREDIT CARD FEES")</f>
        <v xml:space="preserve">          6381 - BANK/CREDIT CARD FEES</v>
      </c>
      <c r="C50" s="11"/>
      <c r="D50" s="6">
        <v>205.09</v>
      </c>
      <c r="E50" s="2"/>
      <c r="F50" s="7">
        <f t="shared" si="29"/>
        <v>0</v>
      </c>
      <c r="G50" s="2"/>
      <c r="H50" s="6">
        <v>448</v>
      </c>
      <c r="I50" s="2"/>
      <c r="J50" s="7">
        <f t="shared" si="30"/>
        <v>6.3267900014122302E-2</v>
      </c>
      <c r="K50" s="2"/>
      <c r="L50" s="6">
        <f t="shared" si="31"/>
        <v>-242.91</v>
      </c>
      <c r="M50" s="2"/>
      <c r="N50" s="7">
        <f t="shared" si="32"/>
        <v>-0.54220982142857144</v>
      </c>
      <c r="O50" s="11"/>
      <c r="P50" s="6">
        <v>399.33</v>
      </c>
      <c r="Q50" s="2"/>
      <c r="R50" s="7">
        <f t="shared" si="33"/>
        <v>0.16124968200705034</v>
      </c>
      <c r="S50" s="2"/>
      <c r="T50" s="6">
        <v>1890</v>
      </c>
      <c r="U50" s="2"/>
      <c r="V50" s="7">
        <f t="shared" si="34"/>
        <v>6.1740493923951395E-2</v>
      </c>
      <c r="W50" s="2"/>
      <c r="X50" s="6">
        <f t="shared" si="35"/>
        <v>-1490.67</v>
      </c>
      <c r="Y50" s="2"/>
      <c r="Z50" s="7">
        <f t="shared" si="36"/>
        <v>-0.7887142857142857</v>
      </c>
    </row>
    <row r="51" spans="1:26" s="29" customFormat="1" outlineLevel="1" collapsed="1" x14ac:dyDescent="0.2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1075</v>
      </c>
      <c r="I51" s="1"/>
      <c r="J51" s="5">
        <f t="shared" si="30"/>
        <v>0.15181471543567293</v>
      </c>
      <c r="K51" s="1"/>
      <c r="L51" s="1">
        <f t="shared" si="31"/>
        <v>0.36999999999989086</v>
      </c>
      <c r="M51" s="1"/>
      <c r="N51" s="5">
        <f t="shared" si="32"/>
        <v>3.4418604651152636E-4</v>
      </c>
      <c r="O51" s="14"/>
      <c r="P51" s="1">
        <f>SUM(OSRRefP22_5x_0)</f>
        <v>5376.85</v>
      </c>
      <c r="Q51" s="1"/>
      <c r="R51" s="5">
        <f t="shared" si="33"/>
        <v>2.1711751000415913</v>
      </c>
      <c r="S51" s="1"/>
      <c r="T51" s="1">
        <f>SUM(OSRRefT22_5x_0)</f>
        <v>5375</v>
      </c>
      <c r="U51" s="1"/>
      <c r="V51" s="5">
        <f t="shared" si="34"/>
        <v>0.17558473801123742</v>
      </c>
      <c r="W51" s="1"/>
      <c r="X51" s="1">
        <f t="shared" si="35"/>
        <v>1.8500000000003638</v>
      </c>
      <c r="Y51" s="1"/>
      <c r="Z51" s="5">
        <f t="shared" si="36"/>
        <v>3.4418604651169561E-4</v>
      </c>
    </row>
    <row r="52" spans="1:26" s="24" customFormat="1" hidden="1" outlineLevel="2" x14ac:dyDescent="0.25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1075.3699999999999</v>
      </c>
      <c r="E52" s="2"/>
      <c r="F52" s="7">
        <f t="shared" si="29"/>
        <v>0</v>
      </c>
      <c r="G52" s="2"/>
      <c r="H52" s="6">
        <v>1075</v>
      </c>
      <c r="I52" s="2"/>
      <c r="J52" s="7">
        <f t="shared" si="30"/>
        <v>0.15181471543567293</v>
      </c>
      <c r="K52" s="2"/>
      <c r="L52" s="6">
        <f t="shared" si="31"/>
        <v>0.36999999999989086</v>
      </c>
      <c r="M52" s="2"/>
      <c r="N52" s="7">
        <f t="shared" si="32"/>
        <v>3.4418604651152636E-4</v>
      </c>
      <c r="O52" s="11"/>
      <c r="P52" s="6">
        <v>5376.85</v>
      </c>
      <c r="Q52" s="2"/>
      <c r="R52" s="7">
        <f t="shared" si="33"/>
        <v>2.1711751000415913</v>
      </c>
      <c r="S52" s="2"/>
      <c r="T52" s="6">
        <v>5375</v>
      </c>
      <c r="U52" s="2"/>
      <c r="V52" s="7">
        <f t="shared" si="34"/>
        <v>0.17558473801123742</v>
      </c>
      <c r="W52" s="2"/>
      <c r="X52" s="6">
        <f t="shared" si="35"/>
        <v>1.8500000000003638</v>
      </c>
      <c r="Y52" s="2"/>
      <c r="Z52" s="7">
        <f t="shared" si="36"/>
        <v>3.4418604651169561E-4</v>
      </c>
    </row>
    <row r="53" spans="1:26" s="29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4"/>
      <c r="P53" s="1">
        <f>SUM(OSRRefP22_6x_0)</f>
        <v>754.55</v>
      </c>
      <c r="Q53" s="1"/>
      <c r="R53" s="5">
        <f t="shared" si="33"/>
        <v>0.3046877208284372</v>
      </c>
      <c r="S53" s="1"/>
      <c r="T53" s="1">
        <f>SUM(OSRRefT22_6x_0)</f>
        <v>1000</v>
      </c>
      <c r="U53" s="1"/>
      <c r="V53" s="5">
        <f t="shared" si="34"/>
        <v>3.2666928002090687E-2</v>
      </c>
      <c r="W53" s="1"/>
      <c r="X53" s="1">
        <f t="shared" si="35"/>
        <v>-245.45000000000005</v>
      </c>
      <c r="Y53" s="1"/>
      <c r="Z53" s="5">
        <f t="shared" si="36"/>
        <v>-0.24545000000000006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754.55</v>
      </c>
      <c r="Q54" s="2"/>
      <c r="R54" s="7">
        <f t="shared" si="33"/>
        <v>0.3046877208284372</v>
      </c>
      <c r="S54" s="2"/>
      <c r="T54" s="6">
        <v>1000</v>
      </c>
      <c r="U54" s="2"/>
      <c r="V54" s="7">
        <f t="shared" si="34"/>
        <v>3.2666928002090687E-2</v>
      </c>
      <c r="W54" s="2"/>
      <c r="X54" s="6">
        <f t="shared" si="35"/>
        <v>-245.45000000000005</v>
      </c>
      <c r="Y54" s="2"/>
      <c r="Z54" s="7">
        <f t="shared" si="36"/>
        <v>-0.24545000000000006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250</v>
      </c>
      <c r="I55" s="1"/>
      <c r="J55" s="5">
        <f t="shared" si="30"/>
        <v>3.5305747775737889E-2</v>
      </c>
      <c r="K55" s="1"/>
      <c r="L55" s="1">
        <f t="shared" si="31"/>
        <v>-250</v>
      </c>
      <c r="M55" s="1"/>
      <c r="N55" s="5">
        <f t="shared" si="32"/>
        <v>-1</v>
      </c>
      <c r="O55" s="14"/>
      <c r="P55" s="1">
        <f>SUM(OSRRefP22_7x_0)</f>
        <v>444.39</v>
      </c>
      <c r="Q55" s="1"/>
      <c r="R55" s="5">
        <f t="shared" si="33"/>
        <v>0.17944493573513912</v>
      </c>
      <c r="S55" s="1"/>
      <c r="T55" s="1">
        <f>SUM(OSRRefT22_7x_0)</f>
        <v>1000</v>
      </c>
      <c r="U55" s="1"/>
      <c r="V55" s="5">
        <f t="shared" si="34"/>
        <v>3.2666928002090687E-2</v>
      </c>
      <c r="W55" s="1"/>
      <c r="X55" s="1">
        <f t="shared" si="35"/>
        <v>-555.61</v>
      </c>
      <c r="Y55" s="1"/>
      <c r="Z55" s="5">
        <f t="shared" si="36"/>
        <v>-0.55561000000000005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126.83</v>
      </c>
      <c r="Q56" s="2"/>
      <c r="R56" s="7">
        <f t="shared" si="33"/>
        <v>5.1214026416633349E-2</v>
      </c>
      <c r="S56" s="2"/>
      <c r="T56" s="6"/>
      <c r="U56" s="2"/>
      <c r="V56" s="7">
        <f t="shared" si="34"/>
        <v>0</v>
      </c>
      <c r="W56" s="2"/>
      <c r="X56" s="6">
        <f t="shared" si="35"/>
        <v>126.83</v>
      </c>
      <c r="Y56" s="2"/>
      <c r="Z56" s="7">
        <f t="shared" si="36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>
        <v>250</v>
      </c>
      <c r="I57" s="2"/>
      <c r="J57" s="7">
        <f t="shared" si="30"/>
        <v>3.5305747775737889E-2</v>
      </c>
      <c r="K57" s="2"/>
      <c r="L57" s="6">
        <f t="shared" si="31"/>
        <v>-250</v>
      </c>
      <c r="M57" s="2"/>
      <c r="N57" s="7">
        <f t="shared" si="32"/>
        <v>-1</v>
      </c>
      <c r="O57" s="11"/>
      <c r="P57" s="6">
        <v>317.56</v>
      </c>
      <c r="Q57" s="2"/>
      <c r="R57" s="7">
        <f t="shared" si="33"/>
        <v>0.12823090931850575</v>
      </c>
      <c r="S57" s="2"/>
      <c r="T57" s="6">
        <v>1000</v>
      </c>
      <c r="U57" s="2"/>
      <c r="V57" s="7">
        <f t="shared" si="34"/>
        <v>3.2666928002090687E-2</v>
      </c>
      <c r="W57" s="2"/>
      <c r="X57" s="6">
        <f t="shared" si="35"/>
        <v>-682.44</v>
      </c>
      <c r="Y57" s="2"/>
      <c r="Z57" s="7">
        <f t="shared" si="36"/>
        <v>-0.68244000000000005</v>
      </c>
    </row>
    <row r="58" spans="1:26" s="29" customFormat="1" outlineLevel="1" collapsed="1" x14ac:dyDescent="0.2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630</v>
      </c>
      <c r="I58" s="1"/>
      <c r="J58" s="5">
        <f t="shared" ref="J58:J60" si="38">IF(H$12=0,0,H58/H$12)</f>
        <v>8.8970484394859481E-2</v>
      </c>
      <c r="K58" s="1"/>
      <c r="L58" s="1">
        <f t="shared" ref="L58:L60" si="39">+D58-H58</f>
        <v>-630</v>
      </c>
      <c r="M58" s="1"/>
      <c r="N58" s="5">
        <f t="shared" ref="N58:N60" si="40">IF(H58=0,0,L58/H58)</f>
        <v>-1</v>
      </c>
      <c r="O58" s="14"/>
      <c r="P58" s="1">
        <f>SUM(OSRRefP22_8x_0)</f>
        <v>185.7</v>
      </c>
      <c r="Q58" s="1"/>
      <c r="R58" s="5">
        <f t="shared" ref="R58:R60" si="41">IF(P$12=0,0,P58/P$12)</f>
        <v>7.4985766029873155E-2</v>
      </c>
      <c r="S58" s="1"/>
      <c r="T58" s="1">
        <f>SUM(OSRRefT22_8x_0)</f>
        <v>2725</v>
      </c>
      <c r="U58" s="1"/>
      <c r="V58" s="5">
        <f t="shared" ref="V58:V60" si="42">IF(T$12=0,0,T58/T$12)</f>
        <v>8.9017378805697114E-2</v>
      </c>
      <c r="W58" s="1"/>
      <c r="X58" s="1">
        <f t="shared" ref="X58:X60" si="43">+P58-T58</f>
        <v>-2539.3000000000002</v>
      </c>
      <c r="Y58" s="1"/>
      <c r="Z58" s="5">
        <f t="shared" ref="Z58:Z60" si="44">IF(T58=0,0,X58/T58)</f>
        <v>-0.9318532110091744</v>
      </c>
    </row>
    <row r="59" spans="1:26" s="24" customFormat="1" hidden="1" outlineLevel="2" x14ac:dyDescent="0.25">
      <c r="A59" s="28"/>
      <c r="B59" s="11" t="str">
        <f>CONCATENATE("          ", "6254", " - ", "ROYALTY &amp; COMMISSIONS")</f>
        <v xml:space="preserve">          6254 - ROYALTY &amp; COMMISSIONS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185.7</v>
      </c>
      <c r="Q59" s="2"/>
      <c r="R59" s="7">
        <f t="shared" si="41"/>
        <v>7.4985766029873155E-2</v>
      </c>
      <c r="S59" s="2"/>
      <c r="T59" s="6"/>
      <c r="U59" s="2"/>
      <c r="V59" s="7">
        <f t="shared" si="42"/>
        <v>0</v>
      </c>
      <c r="W59" s="2"/>
      <c r="X59" s="6">
        <f t="shared" si="43"/>
        <v>185.7</v>
      </c>
      <c r="Y59" s="2"/>
      <c r="Z59" s="7">
        <f t="shared" si="44"/>
        <v>0</v>
      </c>
    </row>
    <row r="60" spans="1:26" s="24" customFormat="1" hidden="1" outlineLevel="2" x14ac:dyDescent="0.25">
      <c r="A60" s="28"/>
      <c r="B60" s="11" t="str">
        <f>CONCATENATE("          ", "6259", " - ", "ROYALTY &amp; COMMISSIONS")</f>
        <v xml:space="preserve">          6259 - ROYALTY &amp; COMMISSIONS</v>
      </c>
      <c r="C60" s="11"/>
      <c r="D60" s="6"/>
      <c r="E60" s="2"/>
      <c r="F60" s="7">
        <f t="shared" si="37"/>
        <v>0</v>
      </c>
      <c r="G60" s="2"/>
      <c r="H60" s="6">
        <v>630</v>
      </c>
      <c r="I60" s="2"/>
      <c r="J60" s="7">
        <f t="shared" si="38"/>
        <v>8.8970484394859481E-2</v>
      </c>
      <c r="K60" s="2"/>
      <c r="L60" s="6">
        <f t="shared" si="39"/>
        <v>-630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2725</v>
      </c>
      <c r="U60" s="2"/>
      <c r="V60" s="7">
        <f t="shared" si="42"/>
        <v>8.9017378805697114E-2</v>
      </c>
      <c r="W60" s="2"/>
      <c r="X60" s="6">
        <f t="shared" si="43"/>
        <v>-2725</v>
      </c>
      <c r="Y60" s="2"/>
      <c r="Z60" s="7">
        <f t="shared" si="44"/>
        <v>-1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41</v>
      </c>
      <c r="E61" s="1"/>
      <c r="F61" s="5">
        <f t="shared" ref="F61:F63" si="45">IF(D$12=0,0,D61/D$12)</f>
        <v>0</v>
      </c>
      <c r="G61" s="1"/>
      <c r="H61" s="1">
        <f>SUM(OSRRefH22_9x_0)</f>
        <v>287</v>
      </c>
      <c r="I61" s="1"/>
      <c r="J61" s="5">
        <f t="shared" ref="J61:J63" si="46">IF(H$12=0,0,H61/H$12)</f>
        <v>4.0530998446547097E-2</v>
      </c>
      <c r="K61" s="1"/>
      <c r="L61" s="1">
        <f t="shared" ref="L61:L63" si="47">+D61-H61</f>
        <v>-246</v>
      </c>
      <c r="M61" s="1"/>
      <c r="N61" s="5">
        <f t="shared" ref="N61:N63" si="48">IF(H61=0,0,L61/H61)</f>
        <v>-0.8571428571428571</v>
      </c>
      <c r="O61" s="14"/>
      <c r="P61" s="1">
        <f>SUM(OSRRefP22_9x_0)</f>
        <v>-63.319999999999993</v>
      </c>
      <c r="Q61" s="1"/>
      <c r="R61" s="5">
        <f t="shared" ref="R61:R63" si="49">IF(P$12=0,0,P61/P$12)</f>
        <v>-2.556865215407414E-2</v>
      </c>
      <c r="S61" s="1"/>
      <c r="T61" s="1">
        <f>SUM(OSRRefT22_9x_0)</f>
        <v>1148</v>
      </c>
      <c r="U61" s="1"/>
      <c r="V61" s="5">
        <f t="shared" ref="V61:V63" si="50">IF(T$12=0,0,T61/T$12)</f>
        <v>3.7501633346400103E-2</v>
      </c>
      <c r="W61" s="1"/>
      <c r="X61" s="1">
        <f t="shared" ref="X61:X63" si="51">+P61-T61</f>
        <v>-1211.32</v>
      </c>
      <c r="Y61" s="1"/>
      <c r="Z61" s="5">
        <f t="shared" ref="Z61:Z63" si="52">IF(T61=0,0,X61/T61)</f>
        <v>-1.055156794425087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41</v>
      </c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41</v>
      </c>
      <c r="M62" s="2"/>
      <c r="N62" s="7">
        <f t="shared" si="48"/>
        <v>0</v>
      </c>
      <c r="O62" s="11"/>
      <c r="P62" s="6">
        <v>82</v>
      </c>
      <c r="Q62" s="2"/>
      <c r="R62" s="7">
        <f t="shared" si="49"/>
        <v>3.3111646819868598E-2</v>
      </c>
      <c r="S62" s="2"/>
      <c r="T62" s="6"/>
      <c r="U62" s="2"/>
      <c r="V62" s="7">
        <f t="shared" si="50"/>
        <v>0</v>
      </c>
      <c r="W62" s="2"/>
      <c r="X62" s="6">
        <f t="shared" si="51"/>
        <v>82</v>
      </c>
      <c r="Y62" s="2"/>
      <c r="Z62" s="7">
        <f t="shared" si="52"/>
        <v>0</v>
      </c>
    </row>
    <row r="63" spans="1:26" s="24" customFormat="1" hidden="1" outlineLevel="2" x14ac:dyDescent="0.25">
      <c r="A63" s="28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45"/>
        <v>0</v>
      </c>
      <c r="G63" s="2"/>
      <c r="H63" s="6">
        <v>287</v>
      </c>
      <c r="I63" s="2"/>
      <c r="J63" s="7">
        <f t="shared" si="46"/>
        <v>4.0530998446547097E-2</v>
      </c>
      <c r="K63" s="2"/>
      <c r="L63" s="6">
        <f t="shared" si="47"/>
        <v>-287</v>
      </c>
      <c r="M63" s="2"/>
      <c r="N63" s="7">
        <f t="shared" si="48"/>
        <v>-1</v>
      </c>
      <c r="O63" s="11"/>
      <c r="P63" s="6">
        <v>-145.32</v>
      </c>
      <c r="Q63" s="2"/>
      <c r="R63" s="7">
        <f t="shared" si="49"/>
        <v>-5.8680298973942738E-2</v>
      </c>
      <c r="S63" s="2"/>
      <c r="T63" s="6">
        <v>1148</v>
      </c>
      <c r="U63" s="2"/>
      <c r="V63" s="7">
        <f t="shared" si="50"/>
        <v>3.7501633346400103E-2</v>
      </c>
      <c r="W63" s="2"/>
      <c r="X63" s="6">
        <f t="shared" si="51"/>
        <v>-1293.32</v>
      </c>
      <c r="Y63" s="2"/>
      <c r="Z63" s="7">
        <f t="shared" si="52"/>
        <v>-1.1265853658536584</v>
      </c>
    </row>
    <row r="64" spans="1:26" s="29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0</v>
      </c>
      <c r="E64" s="1"/>
      <c r="F64" s="5">
        <f t="shared" ref="F64:F67" si="53">IF(D$12=0,0,D64/D$12)</f>
        <v>0</v>
      </c>
      <c r="G64" s="1"/>
      <c r="H64" s="1">
        <f>SUM(OSRRefH22_10x_0)</f>
        <v>467</v>
      </c>
      <c r="I64" s="1"/>
      <c r="J64" s="5">
        <f t="shared" ref="J64:J67" si="54">IF(H$12=0,0,H64/H$12)</f>
        <v>6.5951136845078376E-2</v>
      </c>
      <c r="K64" s="1"/>
      <c r="L64" s="1">
        <f t="shared" ref="L64:L67" si="55">+D64-H64</f>
        <v>-467</v>
      </c>
      <c r="M64" s="1"/>
      <c r="N64" s="5">
        <f t="shared" ref="N64:N67" si="56">IF(H64=0,0,L64/H64)</f>
        <v>-1</v>
      </c>
      <c r="O64" s="14"/>
      <c r="P64" s="1">
        <f>SUM(OSRRefP22_10x_0)</f>
        <v>328.55</v>
      </c>
      <c r="Q64" s="1"/>
      <c r="R64" s="5">
        <f t="shared" ref="R64:R67" si="57">IF(P$12=0,0,P64/P$12)</f>
        <v>0.13266867759351011</v>
      </c>
      <c r="S64" s="1"/>
      <c r="T64" s="1">
        <f>SUM(OSRRefT22_10x_0)</f>
        <v>1968</v>
      </c>
      <c r="U64" s="1"/>
      <c r="V64" s="5">
        <f t="shared" ref="V64:V67" si="58">IF(T$12=0,0,T64/T$12)</f>
        <v>6.4288514308114469E-2</v>
      </c>
      <c r="W64" s="1"/>
      <c r="X64" s="1">
        <f t="shared" ref="X64:X67" si="59">+P64-T64</f>
        <v>-1639.45</v>
      </c>
      <c r="Y64" s="1"/>
      <c r="Z64" s="5">
        <f t="shared" ref="Z64:Z67" si="60">IF(T64=0,0,X64/T64)</f>
        <v>-0.83305386178861796</v>
      </c>
    </row>
    <row r="65" spans="1:26" s="24" customFormat="1" hidden="1" outlineLevel="2" x14ac:dyDescent="0.25">
      <c r="A65" s="28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3"/>
        <v>0</v>
      </c>
      <c r="G65" s="2"/>
      <c r="H65" s="6">
        <v>200</v>
      </c>
      <c r="I65" s="2"/>
      <c r="J65" s="7">
        <f t="shared" si="54"/>
        <v>2.8244598220590313E-2</v>
      </c>
      <c r="K65" s="2"/>
      <c r="L65" s="6">
        <f t="shared" si="55"/>
        <v>-200</v>
      </c>
      <c r="M65" s="2"/>
      <c r="N65" s="7">
        <f t="shared" si="56"/>
        <v>-1</v>
      </c>
      <c r="O65" s="11"/>
      <c r="P65" s="6">
        <v>207.27</v>
      </c>
      <c r="Q65" s="2"/>
      <c r="R65" s="7">
        <f t="shared" si="57"/>
        <v>8.3695744345782502E-2</v>
      </c>
      <c r="S65" s="2"/>
      <c r="T65" s="6">
        <v>800</v>
      </c>
      <c r="U65" s="2"/>
      <c r="V65" s="7">
        <f t="shared" si="58"/>
        <v>2.6133542401672545E-2</v>
      </c>
      <c r="W65" s="2"/>
      <c r="X65" s="6">
        <f t="shared" si="59"/>
        <v>-592.73</v>
      </c>
      <c r="Y65" s="2"/>
      <c r="Z65" s="7">
        <f t="shared" si="60"/>
        <v>-0.74091249999999997</v>
      </c>
    </row>
    <row r="66" spans="1:26" s="24" customFormat="1" hidden="1" outlineLevel="2" x14ac:dyDescent="0.25">
      <c r="A66" s="28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53"/>
        <v>0</v>
      </c>
      <c r="G66" s="2"/>
      <c r="H66" s="6">
        <v>267</v>
      </c>
      <c r="I66" s="2"/>
      <c r="J66" s="7">
        <f t="shared" si="54"/>
        <v>3.7706538624488063E-2</v>
      </c>
      <c r="K66" s="2"/>
      <c r="L66" s="6">
        <f t="shared" si="55"/>
        <v>-267</v>
      </c>
      <c r="M66" s="2"/>
      <c r="N66" s="7">
        <f t="shared" si="56"/>
        <v>-1</v>
      </c>
      <c r="O66" s="11"/>
      <c r="P66" s="6">
        <v>121.28</v>
      </c>
      <c r="Q66" s="2"/>
      <c r="R66" s="7">
        <f t="shared" si="57"/>
        <v>4.8972933247727606E-2</v>
      </c>
      <c r="S66" s="2"/>
      <c r="T66" s="6">
        <v>1068</v>
      </c>
      <c r="U66" s="2"/>
      <c r="V66" s="7">
        <f t="shared" si="58"/>
        <v>3.488827910623285E-2</v>
      </c>
      <c r="W66" s="2"/>
      <c r="X66" s="6">
        <f t="shared" si="59"/>
        <v>-946.72</v>
      </c>
      <c r="Y66" s="2"/>
      <c r="Z66" s="7">
        <f t="shared" si="60"/>
        <v>-0.88644194756554306</v>
      </c>
    </row>
    <row r="67" spans="1:26" s="24" customFormat="1" hidden="1" outlineLevel="2" x14ac:dyDescent="0.25">
      <c r="A67" s="28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53"/>
        <v>0</v>
      </c>
      <c r="G67" s="2"/>
      <c r="H67" s="6"/>
      <c r="I67" s="2"/>
      <c r="J67" s="7">
        <f t="shared" si="54"/>
        <v>0</v>
      </c>
      <c r="K67" s="2"/>
      <c r="L67" s="6">
        <f t="shared" si="55"/>
        <v>0</v>
      </c>
      <c r="M67" s="2"/>
      <c r="N67" s="7">
        <f t="shared" si="56"/>
        <v>0</v>
      </c>
      <c r="O67" s="11"/>
      <c r="P67" s="6"/>
      <c r="Q67" s="2"/>
      <c r="R67" s="7">
        <f t="shared" si="57"/>
        <v>0</v>
      </c>
      <c r="S67" s="2"/>
      <c r="T67" s="6">
        <v>100</v>
      </c>
      <c r="U67" s="2"/>
      <c r="V67" s="7">
        <f t="shared" si="58"/>
        <v>3.2666928002090681E-3</v>
      </c>
      <c r="W67" s="2"/>
      <c r="X67" s="6">
        <f t="shared" si="59"/>
        <v>-100</v>
      </c>
      <c r="Y67" s="2"/>
      <c r="Z67" s="7">
        <f t="shared" si="60"/>
        <v>-1</v>
      </c>
    </row>
    <row r="68" spans="1:26" s="29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101.5</v>
      </c>
      <c r="E68" s="1"/>
      <c r="F68" s="5">
        <f t="shared" ref="F68:F70" si="61">IF(D$12=0,0,D68/D$12)</f>
        <v>0</v>
      </c>
      <c r="G68" s="1"/>
      <c r="H68" s="1">
        <f>SUM(OSRRefH22_11x_0)</f>
        <v>75</v>
      </c>
      <c r="I68" s="1"/>
      <c r="J68" s="5">
        <f t="shared" ref="J68:J70" si="62">IF(H$12=0,0,H68/H$12)</f>
        <v>1.0591724332721366E-2</v>
      </c>
      <c r="K68" s="1"/>
      <c r="L68" s="1">
        <f t="shared" ref="L68:L70" si="63">+D68-H68</f>
        <v>26.5</v>
      </c>
      <c r="M68" s="1"/>
      <c r="N68" s="5">
        <f t="shared" ref="N68:N70" si="64">IF(H68=0,0,L68/H68)</f>
        <v>0.35333333333333333</v>
      </c>
      <c r="O68" s="14"/>
      <c r="P68" s="1">
        <f>SUM(OSRRefP22_11x_0)</f>
        <v>531</v>
      </c>
      <c r="Q68" s="1"/>
      <c r="R68" s="5">
        <f t="shared" ref="R68:R70" si="65">IF(P$12=0,0,P68/P$12)</f>
        <v>0.21441810318719789</v>
      </c>
      <c r="S68" s="1"/>
      <c r="T68" s="1">
        <f>SUM(OSRRefT22_11x_0)</f>
        <v>375</v>
      </c>
      <c r="U68" s="1"/>
      <c r="V68" s="5">
        <f t="shared" ref="V68:V70" si="66">IF(T$12=0,0,T68/T$12)</f>
        <v>1.2250098000784006E-2</v>
      </c>
      <c r="W68" s="1"/>
      <c r="X68" s="1">
        <f t="shared" ref="X68:X70" si="67">+P68-T68</f>
        <v>156</v>
      </c>
      <c r="Y68" s="1"/>
      <c r="Z68" s="5">
        <f t="shared" ref="Z68:Z70" si="68">IF(T68=0,0,X68/T68)</f>
        <v>0.41599999999999998</v>
      </c>
    </row>
    <row r="69" spans="1:26" s="24" customFormat="1" hidden="1" outlineLevel="2" x14ac:dyDescent="0.25">
      <c r="A69" s="28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61"/>
        <v>0</v>
      </c>
      <c r="G69" s="2"/>
      <c r="H69" s="6">
        <v>75</v>
      </c>
      <c r="I69" s="2"/>
      <c r="J69" s="7">
        <f t="shared" si="62"/>
        <v>1.0591724332721366E-2</v>
      </c>
      <c r="K69" s="2"/>
      <c r="L69" s="6">
        <f t="shared" si="63"/>
        <v>-75</v>
      </c>
      <c r="M69" s="2"/>
      <c r="N69" s="7">
        <f t="shared" si="64"/>
        <v>-1</v>
      </c>
      <c r="O69" s="11"/>
      <c r="P69" s="6"/>
      <c r="Q69" s="2"/>
      <c r="R69" s="7">
        <f t="shared" si="65"/>
        <v>0</v>
      </c>
      <c r="S69" s="2"/>
      <c r="T69" s="6">
        <v>375</v>
      </c>
      <c r="U69" s="2"/>
      <c r="V69" s="7">
        <f t="shared" si="66"/>
        <v>1.2250098000784006E-2</v>
      </c>
      <c r="W69" s="2"/>
      <c r="X69" s="6">
        <f t="shared" si="67"/>
        <v>-375</v>
      </c>
      <c r="Y69" s="2"/>
      <c r="Z69" s="7">
        <f t="shared" si="68"/>
        <v>-1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6">
        <v>101.5</v>
      </c>
      <c r="E70" s="2"/>
      <c r="F70" s="7">
        <f t="shared" si="61"/>
        <v>0</v>
      </c>
      <c r="G70" s="2"/>
      <c r="H70" s="6"/>
      <c r="I70" s="2"/>
      <c r="J70" s="7">
        <f t="shared" si="62"/>
        <v>0</v>
      </c>
      <c r="K70" s="2"/>
      <c r="L70" s="6">
        <f t="shared" si="63"/>
        <v>101.5</v>
      </c>
      <c r="M70" s="2"/>
      <c r="N70" s="7">
        <f t="shared" si="64"/>
        <v>0</v>
      </c>
      <c r="O70" s="11"/>
      <c r="P70" s="6">
        <v>531</v>
      </c>
      <c r="Q70" s="2"/>
      <c r="R70" s="7">
        <f t="shared" si="65"/>
        <v>0.21441810318719789</v>
      </c>
      <c r="S70" s="2"/>
      <c r="T70" s="6"/>
      <c r="U70" s="2"/>
      <c r="V70" s="7">
        <f t="shared" si="66"/>
        <v>0</v>
      </c>
      <c r="W70" s="2"/>
      <c r="X70" s="6">
        <f t="shared" si="67"/>
        <v>531</v>
      </c>
      <c r="Y70" s="2"/>
      <c r="Z70" s="7">
        <f t="shared" si="68"/>
        <v>0</v>
      </c>
    </row>
    <row r="71" spans="1:26" s="29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SUM(OSRRefD22_12x_0)</f>
        <v>0</v>
      </c>
      <c r="E71" s="1"/>
      <c r="F71" s="5">
        <f t="shared" ref="F71:F74" si="69">IF(D$12=0,0,D71/D$12)</f>
        <v>0</v>
      </c>
      <c r="G71" s="1"/>
      <c r="H71" s="1">
        <f>SUM(OSRRefH22_12x_0)</f>
        <v>0</v>
      </c>
      <c r="I71" s="1"/>
      <c r="J71" s="5">
        <f t="shared" ref="J71:J74" si="70">IF(H$12=0,0,H71/H$12)</f>
        <v>0</v>
      </c>
      <c r="K71" s="1"/>
      <c r="L71" s="1">
        <f t="shared" ref="L71:L74" si="71">+D71-H71</f>
        <v>0</v>
      </c>
      <c r="M71" s="1"/>
      <c r="N71" s="5">
        <f t="shared" ref="N71:N74" si="72">IF(H71=0,0,L71/H71)</f>
        <v>0</v>
      </c>
      <c r="O71" s="14"/>
      <c r="P71" s="1">
        <f>SUM(OSRRefP22_12x_0)</f>
        <v>0</v>
      </c>
      <c r="Q71" s="1"/>
      <c r="R71" s="5">
        <f t="shared" ref="R71:R74" si="73">IF(P$12=0,0,P71/P$12)</f>
        <v>0</v>
      </c>
      <c r="S71" s="1"/>
      <c r="T71" s="1">
        <f>SUM(OSRRefT22_12x_0)</f>
        <v>60</v>
      </c>
      <c r="U71" s="1"/>
      <c r="V71" s="5">
        <f t="shared" ref="V71:V74" si="74">IF(T$12=0,0,T71/T$12)</f>
        <v>1.9600156801254411E-3</v>
      </c>
      <c r="W71" s="1"/>
      <c r="X71" s="1">
        <f t="shared" ref="X71:X74" si="75">+P71-T71</f>
        <v>-60</v>
      </c>
      <c r="Y71" s="1"/>
      <c r="Z71" s="5">
        <f t="shared" ref="Z71:Z74" si="76">IF(T71=0,0,X71/T71)</f>
        <v>-1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69"/>
        <v>0</v>
      </c>
      <c r="G72" s="2"/>
      <c r="H72" s="6"/>
      <c r="I72" s="2"/>
      <c r="J72" s="7">
        <f t="shared" si="70"/>
        <v>0</v>
      </c>
      <c r="K72" s="2"/>
      <c r="L72" s="6">
        <f t="shared" si="71"/>
        <v>0</v>
      </c>
      <c r="M72" s="2"/>
      <c r="N72" s="7">
        <f t="shared" si="72"/>
        <v>0</v>
      </c>
      <c r="O72" s="11"/>
      <c r="P72" s="6"/>
      <c r="Q72" s="2"/>
      <c r="R72" s="7">
        <f t="shared" si="73"/>
        <v>0</v>
      </c>
      <c r="S72" s="2"/>
      <c r="T72" s="6">
        <v>60</v>
      </c>
      <c r="U72" s="2"/>
      <c r="V72" s="7">
        <f t="shared" si="74"/>
        <v>1.9600156801254411E-3</v>
      </c>
      <c r="W72" s="2"/>
      <c r="X72" s="6">
        <f t="shared" si="75"/>
        <v>-60</v>
      </c>
      <c r="Y72" s="2"/>
      <c r="Z72" s="7">
        <f t="shared" si="76"/>
        <v>-1</v>
      </c>
    </row>
    <row r="73" spans="1:26" s="29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50</v>
      </c>
      <c r="E73" s="1"/>
      <c r="F73" s="5">
        <f t="shared" si="69"/>
        <v>0</v>
      </c>
      <c r="G73" s="1"/>
      <c r="H73" s="1">
        <f>SUM(OSRRefH22_13x_0)</f>
        <v>50</v>
      </c>
      <c r="I73" s="1"/>
      <c r="J73" s="5">
        <f t="shared" si="70"/>
        <v>7.0611495551475782E-3</v>
      </c>
      <c r="K73" s="1"/>
      <c r="L73" s="1">
        <f t="shared" si="71"/>
        <v>0</v>
      </c>
      <c r="M73" s="1"/>
      <c r="N73" s="5">
        <f t="shared" si="72"/>
        <v>0</v>
      </c>
      <c r="O73" s="14"/>
      <c r="P73" s="1">
        <f>SUM(OSRRefP22_13x_0)</f>
        <v>250</v>
      </c>
      <c r="Q73" s="1"/>
      <c r="R73" s="5">
        <f t="shared" si="73"/>
        <v>0.10095014274350182</v>
      </c>
      <c r="S73" s="1"/>
      <c r="T73" s="1">
        <f>SUM(OSRRefT22_13x_0)</f>
        <v>250</v>
      </c>
      <c r="U73" s="1"/>
      <c r="V73" s="5">
        <f t="shared" si="74"/>
        <v>8.1667320005226716E-3</v>
      </c>
      <c r="W73" s="1"/>
      <c r="X73" s="1">
        <f t="shared" si="75"/>
        <v>0</v>
      </c>
      <c r="Y73" s="1"/>
      <c r="Z73" s="5">
        <f t="shared" si="76"/>
        <v>0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6">
        <v>50</v>
      </c>
      <c r="E74" s="2"/>
      <c r="F74" s="7">
        <f t="shared" si="69"/>
        <v>0</v>
      </c>
      <c r="G74" s="2"/>
      <c r="H74" s="6">
        <v>50</v>
      </c>
      <c r="I74" s="2"/>
      <c r="J74" s="7">
        <f t="shared" si="70"/>
        <v>7.0611495551475782E-3</v>
      </c>
      <c r="K74" s="2"/>
      <c r="L74" s="6">
        <f t="shared" si="71"/>
        <v>0</v>
      </c>
      <c r="M74" s="2"/>
      <c r="N74" s="7">
        <f t="shared" si="72"/>
        <v>0</v>
      </c>
      <c r="O74" s="11"/>
      <c r="P74" s="6">
        <v>250</v>
      </c>
      <c r="Q74" s="2"/>
      <c r="R74" s="7">
        <f t="shared" si="73"/>
        <v>0.10095014274350182</v>
      </c>
      <c r="S74" s="2"/>
      <c r="T74" s="6">
        <v>250</v>
      </c>
      <c r="U74" s="2"/>
      <c r="V74" s="7">
        <f t="shared" si="74"/>
        <v>8.1667320005226716E-3</v>
      </c>
      <c r="W74" s="2"/>
      <c r="X74" s="6">
        <f t="shared" si="75"/>
        <v>0</v>
      </c>
      <c r="Y74" s="2"/>
      <c r="Z74" s="7">
        <f t="shared" si="76"/>
        <v>0</v>
      </c>
    </row>
    <row r="75" spans="1:26" s="62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+D21-D23+D76</f>
        <v>-4495.3099999999995</v>
      </c>
      <c r="E78" s="13"/>
      <c r="F78" s="20">
        <f>IF(D$12=0,0,D78/D$12)</f>
        <v>0</v>
      </c>
      <c r="G78" s="13"/>
      <c r="H78" s="21">
        <f>+H21-H23+H76</f>
        <v>-4311.1843761999999</v>
      </c>
      <c r="I78" s="13"/>
      <c r="J78" s="20">
        <f>IF(H$12=0,0,H78/H$12)</f>
        <v>-0.60883835280327636</v>
      </c>
      <c r="K78" s="16"/>
      <c r="L78" s="21">
        <f>+D78-H78</f>
        <v>-184.12562379999963</v>
      </c>
      <c r="M78" s="16"/>
      <c r="N78" s="20">
        <f>IF(H78=0,0,L78/H78)</f>
        <v>4.2708826098106521E-2</v>
      </c>
      <c r="O78" s="26"/>
      <c r="P78" s="21">
        <f>+P21-P23+P76</f>
        <v>-29456.820000000003</v>
      </c>
      <c r="Q78" s="13"/>
      <c r="R78" s="20">
        <f>IF(P$12=0,0,P78/P$12)</f>
        <v>-11.894680735078559</v>
      </c>
      <c r="S78" s="13"/>
      <c r="T78" s="21">
        <f>+T21-T23+T76</f>
        <v>-21725.557410499998</v>
      </c>
      <c r="U78" s="13"/>
      <c r="V78" s="20">
        <f>IF(T$12=0,0,T78/T$12)</f>
        <v>-0.70970721973409112</v>
      </c>
      <c r="W78" s="16"/>
      <c r="X78" s="21">
        <f>+P78-T78</f>
        <v>-7731.2625895000056</v>
      </c>
      <c r="Y78" s="16"/>
      <c r="Z78" s="20">
        <f>IF(T78=0,0,X78/T78)</f>
        <v>0.35586026371703006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-142.94999999999999</v>
      </c>
      <c r="E80" s="4"/>
      <c r="F80" s="12">
        <f>IF(D$12=0,0,D80/D$12)</f>
        <v>0</v>
      </c>
      <c r="G80" s="4"/>
      <c r="H80" s="4">
        <v>1607</v>
      </c>
      <c r="I80" s="4"/>
      <c r="J80" s="12">
        <f>IF(H$12=0,0,H80/H$12)</f>
        <v>0.22694534670244315</v>
      </c>
      <c r="K80" s="4"/>
      <c r="L80" s="4">
        <f>+D80-H80</f>
        <v>-1749.95</v>
      </c>
      <c r="M80" s="4"/>
      <c r="N80" s="12">
        <f>IF(H80=0,0,L80/H80)</f>
        <v>-1.088954573739888</v>
      </c>
      <c r="O80" s="10"/>
      <c r="P80" s="4">
        <v>393.51</v>
      </c>
      <c r="Q80" s="4"/>
      <c r="R80" s="12">
        <f>IF(P$12=0,0,P80/P$12)</f>
        <v>0.15889956268398162</v>
      </c>
      <c r="S80" s="4"/>
      <c r="T80" s="4">
        <v>5459</v>
      </c>
      <c r="U80" s="4"/>
      <c r="V80" s="12">
        <f>IF(T$12=0,0,T80/T$12)</f>
        <v>0.17832875996341305</v>
      </c>
      <c r="W80" s="4"/>
      <c r="X80" s="4">
        <f>+P80-T80</f>
        <v>-5065.49</v>
      </c>
      <c r="Y80" s="4"/>
      <c r="Z80" s="12">
        <f>IF(T80=0,0,X80/T80)</f>
        <v>-0.92791536911522254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1">
        <f>+D78-D80</f>
        <v>-4352.3599999999997</v>
      </c>
      <c r="E82" s="13"/>
      <c r="F82" s="34">
        <f>IF(D$12=0,0,D82/D$12)</f>
        <v>0</v>
      </c>
      <c r="G82" s="13"/>
      <c r="H82" s="31">
        <f>+H78-H80</f>
        <v>-5918.1843761999999</v>
      </c>
      <c r="I82" s="13"/>
      <c r="J82" s="34">
        <f>IF(H$12=0,0,H82/H$12)</f>
        <v>-0.83578369950571951</v>
      </c>
      <c r="K82" s="16"/>
      <c r="L82" s="31">
        <f>D82-H82</f>
        <v>1565.8243762000002</v>
      </c>
      <c r="M82" s="16"/>
      <c r="N82" s="34">
        <f>IF(H82=0,0,L82/H82)</f>
        <v>-0.26457850527553156</v>
      </c>
      <c r="O82" s="26"/>
      <c r="P82" s="31">
        <f>+P78-P80</f>
        <v>-29850.33</v>
      </c>
      <c r="Q82" s="13"/>
      <c r="R82" s="34">
        <f>IF(P$12=0,0,P82/P$12)</f>
        <v>-12.05358029776254</v>
      </c>
      <c r="S82" s="13"/>
      <c r="T82" s="31">
        <f>+T78-T80</f>
        <v>-27184.557410499998</v>
      </c>
      <c r="U82" s="13"/>
      <c r="V82" s="34">
        <f>IF(T$12=0,0,T82/T$12)</f>
        <v>-0.88803597969750414</v>
      </c>
      <c r="W82" s="16"/>
      <c r="X82" s="31">
        <f>P82-T82</f>
        <v>-2665.772589500004</v>
      </c>
      <c r="Y82" s="16"/>
      <c r="Z82" s="34">
        <f>IF(T82=0,0,X82/T82)</f>
        <v>9.8062019154682031E-2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-4352.3599999999997</v>
      </c>
      <c r="E85" s="13"/>
      <c r="F85" s="30">
        <f>IF(D$12=0,0,D85/D$12)</f>
        <v>0</v>
      </c>
      <c r="G85" s="13"/>
      <c r="H85" s="33">
        <f>SUM(H82:H84)</f>
        <v>-5918.1843761999999</v>
      </c>
      <c r="I85" s="13"/>
      <c r="J85" s="30">
        <f>IF(H$12=0,0,H85/H$12)</f>
        <v>-0.83578369950571951</v>
      </c>
      <c r="K85" s="16"/>
      <c r="L85" s="33">
        <f>+D85-H85</f>
        <v>1565.8243762000002</v>
      </c>
      <c r="M85" s="16"/>
      <c r="N85" s="30">
        <f>IF(H85=0,0,L85/H85)</f>
        <v>-0.26457850527553156</v>
      </c>
      <c r="O85" s="26"/>
      <c r="P85" s="33">
        <f>SUM(P82:P84)</f>
        <v>-29850.33</v>
      </c>
      <c r="Q85" s="13"/>
      <c r="R85" s="30">
        <f>IF(P$12=0,0,P85/P$12)</f>
        <v>-12.05358029776254</v>
      </c>
      <c r="S85" s="13"/>
      <c r="T85" s="33">
        <f>SUM(T82:T84)</f>
        <v>-27184.557410499998</v>
      </c>
      <c r="U85" s="13"/>
      <c r="V85" s="30">
        <f>IF(T$12=0,0,T85/T$12)</f>
        <v>-0.88803597969750414</v>
      </c>
      <c r="W85" s="16"/>
      <c r="X85" s="33">
        <f>+P85-T85</f>
        <v>-2665.772589500004</v>
      </c>
      <c r="Y85" s="16"/>
      <c r="Z85" s="30">
        <f>IF(T85=0,0,X85/T85)</f>
        <v>9.8062019154682031E-2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>
        <v>44174.679708993055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D12-D15</f>
        <v>0</v>
      </c>
      <c r="E19" s="13"/>
      <c r="F19" s="20">
        <f>IF(D$12=0,0,D19/D$12)</f>
        <v>0</v>
      </c>
      <c r="G19" s="13"/>
      <c r="H19" s="21">
        <f>H12-H15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6"/>
      <c r="P19" s="21">
        <f>P12-P15</f>
        <v>1222.33</v>
      </c>
      <c r="Q19" s="13"/>
      <c r="R19" s="20">
        <f>IF(P$12=0,0,P19/P$12)</f>
        <v>0</v>
      </c>
      <c r="S19" s="13"/>
      <c r="T19" s="21">
        <f>T12-T15</f>
        <v>0</v>
      </c>
      <c r="U19" s="13"/>
      <c r="V19" s="20">
        <f>IF(T$12=0,0,T19/T$12)</f>
        <v>0</v>
      </c>
      <c r="W19" s="16"/>
      <c r="X19" s="21">
        <f>+P19-T19</f>
        <v>1222.33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2225.34</v>
      </c>
      <c r="E21" s="19"/>
      <c r="F21" s="35">
        <f t="shared" ref="F21:F30" si="12">IF(D$12=0,0,D21/D$12)</f>
        <v>0</v>
      </c>
      <c r="G21" s="19"/>
      <c r="H21" s="19">
        <f>SUM(OSRRefH22x_0)</f>
        <v>2017</v>
      </c>
      <c r="I21" s="19"/>
      <c r="J21" s="35">
        <f t="shared" ref="J21:J30" si="13">IF(H$12=0,0,H21/H$12)</f>
        <v>0</v>
      </c>
      <c r="K21" s="4"/>
      <c r="L21" s="19">
        <f t="shared" ref="L21:L30" si="14">+D21-H21</f>
        <v>208.34000000000015</v>
      </c>
      <c r="M21" s="4"/>
      <c r="N21" s="35">
        <f t="shared" ref="N21:N30" si="15">IF(H21=0,0,L21/H21)</f>
        <v>0.10329201784828961</v>
      </c>
      <c r="O21" s="10"/>
      <c r="P21" s="19">
        <f>SUM(OSRRefP22x_0)</f>
        <v>13492.6</v>
      </c>
      <c r="Q21" s="19"/>
      <c r="R21" s="35">
        <f t="shared" ref="R21:R30" si="16">IF(P$12=0,0,P21/P$12)</f>
        <v>0</v>
      </c>
      <c r="S21" s="19"/>
      <c r="T21" s="19">
        <f>SUM(OSRRefT22x_0)</f>
        <v>10085</v>
      </c>
      <c r="U21" s="19"/>
      <c r="V21" s="35">
        <f t="shared" ref="V21:V30" si="17">IF(T$12=0,0,T21/T$12)</f>
        <v>0</v>
      </c>
      <c r="W21" s="4"/>
      <c r="X21" s="19">
        <f t="shared" ref="X21:X30" si="18">+P21-T21</f>
        <v>3407.6000000000004</v>
      </c>
      <c r="Y21" s="4"/>
      <c r="Z21" s="35">
        <f t="shared" ref="Z21:Z30" si="19">IF(T21=0,0,X21/T21)</f>
        <v>0.33788795240456126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>
        <v>159.12</v>
      </c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159.12</v>
      </c>
      <c r="Y23" s="2"/>
      <c r="Z23" s="7">
        <f t="shared" si="19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>
        <v>683.68</v>
      </c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683.68</v>
      </c>
      <c r="Y25" s="2"/>
      <c r="Z25" s="7">
        <f t="shared" si="19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>
        <v>321.57</v>
      </c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321.57</v>
      </c>
      <c r="Y27" s="2"/>
      <c r="Z27" s="7">
        <f t="shared" si="19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239.72</v>
      </c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239.72</v>
      </c>
      <c r="Y29" s="2"/>
      <c r="Z29" s="7">
        <f t="shared" si="19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191.88</v>
      </c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191.88</v>
      </c>
      <c r="Y30" s="2"/>
      <c r="Z30" s="7">
        <f t="shared" si="19"/>
        <v>0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2080</v>
      </c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2080</v>
      </c>
      <c r="Y33" s="2"/>
      <c r="Z33" s="7">
        <f t="shared" si="27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0</v>
      </c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0</v>
      </c>
      <c r="U43" s="2"/>
      <c r="V43" s="7">
        <f t="shared" si="33"/>
        <v>0</v>
      </c>
      <c r="W43" s="2"/>
      <c r="X43" s="6">
        <f t="shared" si="34"/>
        <v>0</v>
      </c>
      <c r="Y43" s="2"/>
      <c r="Z43" s="7">
        <f t="shared" si="35"/>
        <v>0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8"/>
        <v>0</v>
      </c>
      <c r="G45" s="2"/>
      <c r="H45" s="6">
        <v>0</v>
      </c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/>
      <c r="Q45" s="2"/>
      <c r="R45" s="7">
        <f t="shared" si="32"/>
        <v>0</v>
      </c>
      <c r="S45" s="2"/>
      <c r="T45" s="6">
        <v>0</v>
      </c>
      <c r="U45" s="2"/>
      <c r="V45" s="7">
        <f t="shared" si="33"/>
        <v>0</v>
      </c>
      <c r="W45" s="2"/>
      <c r="X45" s="6">
        <f t="shared" si="34"/>
        <v>0</v>
      </c>
      <c r="Y45" s="2"/>
      <c r="Z45" s="7">
        <f t="shared" si="35"/>
        <v>0</v>
      </c>
    </row>
    <row r="46" spans="1:26" s="29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10086.700000000001</v>
      </c>
      <c r="Q46" s="1"/>
      <c r="R46" s="5">
        <f t="shared" si="32"/>
        <v>0</v>
      </c>
      <c r="S46" s="1"/>
      <c r="T46" s="1">
        <f>SUM(OSRRefT22_4x_0)</f>
        <v>10085</v>
      </c>
      <c r="U46" s="1"/>
      <c r="V46" s="5">
        <f t="shared" si="33"/>
        <v>0</v>
      </c>
      <c r="W46" s="1"/>
      <c r="X46" s="1">
        <f t="shared" si="34"/>
        <v>1.7000000000007276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2017.34</v>
      </c>
      <c r="E47" s="2"/>
      <c r="F47" s="7">
        <f t="shared" si="28"/>
        <v>0</v>
      </c>
      <c r="G47" s="2"/>
      <c r="H47" s="6">
        <v>2017</v>
      </c>
      <c r="I47" s="2"/>
      <c r="J47" s="7">
        <f t="shared" si="29"/>
        <v>0</v>
      </c>
      <c r="K47" s="2"/>
      <c r="L47" s="6">
        <f t="shared" si="30"/>
        <v>0.33999999999991815</v>
      </c>
      <c r="M47" s="2"/>
      <c r="N47" s="7">
        <f t="shared" si="31"/>
        <v>1.6856717897864064E-4</v>
      </c>
      <c r="O47" s="11"/>
      <c r="P47" s="6">
        <v>10086.700000000001</v>
      </c>
      <c r="Q47" s="2"/>
      <c r="R47" s="7">
        <f t="shared" si="32"/>
        <v>0</v>
      </c>
      <c r="S47" s="2"/>
      <c r="T47" s="6">
        <v>10085</v>
      </c>
      <c r="U47" s="2"/>
      <c r="V47" s="7">
        <f t="shared" si="33"/>
        <v>0</v>
      </c>
      <c r="W47" s="2"/>
      <c r="X47" s="6">
        <f t="shared" si="34"/>
        <v>1.7000000000007276</v>
      </c>
      <c r="Y47" s="2"/>
      <c r="Z47" s="7">
        <f t="shared" si="35"/>
        <v>1.6856717897875337E-4</v>
      </c>
    </row>
    <row r="48" spans="1:26" s="29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/>
      <c r="Q49" s="2"/>
      <c r="R49" s="7">
        <f t="shared" si="32"/>
        <v>0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0</v>
      </c>
      <c r="Y49" s="2"/>
      <c r="Z49" s="7">
        <f t="shared" si="35"/>
        <v>0</v>
      </c>
    </row>
    <row r="50" spans="1:26" s="29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6"/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/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0</v>
      </c>
      <c r="Y51" s="2"/>
      <c r="Z51" s="7">
        <f t="shared" si="35"/>
        <v>0</v>
      </c>
    </row>
    <row r="52" spans="1:26" s="29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SUM(OSRRefP22_7x_0)</f>
        <v>150.94999999999999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150.94999999999999</v>
      </c>
      <c r="Y52" s="1"/>
      <c r="Z52" s="5">
        <f t="shared" si="35"/>
        <v>0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150.94999999999999</v>
      </c>
      <c r="Q53" s="2"/>
      <c r="R53" s="7">
        <f t="shared" si="32"/>
        <v>0</v>
      </c>
      <c r="S53" s="2"/>
      <c r="T53" s="6"/>
      <c r="U53" s="2"/>
      <c r="V53" s="7">
        <f t="shared" si="33"/>
        <v>0</v>
      </c>
      <c r="W53" s="2"/>
      <c r="X53" s="6">
        <f t="shared" si="34"/>
        <v>150.94999999999999</v>
      </c>
      <c r="Y53" s="2"/>
      <c r="Z53" s="7">
        <f t="shared" si="35"/>
        <v>0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9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8"/>
      <c r="B56" s="11" t="str">
        <f>CONCATENATE("          ", "6282", " - ", "JANITORIAL/EXTERMINATOR EXPENS")</f>
        <v xml:space="preserve">          6282 - JANITORIAL/EXTERMINATOR EXPENS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-567.28</v>
      </c>
      <c r="Q56" s="2"/>
      <c r="R56" s="7">
        <f t="shared" si="40"/>
        <v>0</v>
      </c>
      <c r="S56" s="2"/>
      <c r="T56" s="6"/>
      <c r="U56" s="2"/>
      <c r="V56" s="7">
        <f t="shared" si="41"/>
        <v>0</v>
      </c>
      <c r="W56" s="2"/>
      <c r="X56" s="6">
        <f t="shared" si="42"/>
        <v>-567.28</v>
      </c>
      <c r="Y56" s="2"/>
      <c r="Z56" s="7">
        <f t="shared" si="43"/>
        <v>0</v>
      </c>
    </row>
    <row r="57" spans="1:26" s="24" customFormat="1" hidden="1" outlineLevel="2" x14ac:dyDescent="0.25">
      <c r="A57" s="28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-486.24</v>
      </c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-486.24</v>
      </c>
      <c r="Y57" s="2"/>
      <c r="Z57" s="7">
        <f t="shared" si="43"/>
        <v>0</v>
      </c>
    </row>
    <row r="58" spans="1:26" s="29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44"/>
        <v>0</v>
      </c>
      <c r="G59" s="2"/>
      <c r="H59" s="6">
        <v>0</v>
      </c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/>
      <c r="Q59" s="2"/>
      <c r="R59" s="7">
        <f t="shared" si="48"/>
        <v>0</v>
      </c>
      <c r="S59" s="2"/>
      <c r="T59" s="6">
        <v>0</v>
      </c>
      <c r="U59" s="2"/>
      <c r="V59" s="7">
        <f t="shared" si="49"/>
        <v>0</v>
      </c>
      <c r="W59" s="2"/>
      <c r="X59" s="6">
        <f t="shared" si="50"/>
        <v>0</v>
      </c>
      <c r="Y59" s="2"/>
      <c r="Z59" s="7">
        <f t="shared" si="51"/>
        <v>0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131.30000000000001</v>
      </c>
      <c r="Q60" s="2"/>
      <c r="R60" s="7">
        <f t="shared" si="48"/>
        <v>0</v>
      </c>
      <c r="S60" s="2"/>
      <c r="T60" s="6"/>
      <c r="U60" s="2"/>
      <c r="V60" s="7">
        <f t="shared" si="49"/>
        <v>0</v>
      </c>
      <c r="W60" s="2"/>
      <c r="X60" s="6">
        <f t="shared" si="50"/>
        <v>131.30000000000001</v>
      </c>
      <c r="Y60" s="2"/>
      <c r="Z60" s="7">
        <f t="shared" si="51"/>
        <v>0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8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9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8"/>
      <c r="B64" s="11" t="str">
        <f>CONCATENATE("          ", "6309", " - ", "TELEPHONE")</f>
        <v xml:space="preserve">          6309 - TELEPHONE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85.2</v>
      </c>
      <c r="Q64" s="2"/>
      <c r="R64" s="7">
        <f t="shared" si="56"/>
        <v>0</v>
      </c>
      <c r="S64" s="2"/>
      <c r="T64" s="6"/>
      <c r="U64" s="2"/>
      <c r="V64" s="7">
        <f t="shared" si="57"/>
        <v>0</v>
      </c>
      <c r="W64" s="2"/>
      <c r="X64" s="6">
        <f t="shared" si="58"/>
        <v>85.2</v>
      </c>
      <c r="Y64" s="2"/>
      <c r="Z64" s="7">
        <f t="shared" si="59"/>
        <v>0</v>
      </c>
    </row>
    <row r="65" spans="1:26" s="29" customFormat="1" outlineLevel="1" collapsed="1" x14ac:dyDescent="0.2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4"/>
      <c r="P65" s="1">
        <f>SUM(OSRRefP22_11x_0)</f>
        <v>416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416</v>
      </c>
      <c r="Y65" s="1"/>
      <c r="Z65" s="5">
        <f t="shared" si="59"/>
        <v>0</v>
      </c>
    </row>
    <row r="66" spans="1:26" s="24" customFormat="1" hidden="1" outlineLevel="2" x14ac:dyDescent="0.25">
      <c r="A66" s="28"/>
      <c r="B66" s="11" t="str">
        <f>CONCATENATE("          ", "6274", " - ", "UTILITIES")</f>
        <v xml:space="preserve">          6274 - UTILITIES</v>
      </c>
      <c r="C66" s="11"/>
      <c r="D66" s="6">
        <v>208</v>
      </c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208</v>
      </c>
      <c r="M66" s="2"/>
      <c r="N66" s="7">
        <f t="shared" si="55"/>
        <v>0</v>
      </c>
      <c r="O66" s="11"/>
      <c r="P66" s="6">
        <v>416</v>
      </c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416</v>
      </c>
      <c r="Y66" s="2"/>
      <c r="Z66" s="7">
        <f t="shared" si="59"/>
        <v>0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1">
        <f>+D19-D21+D68</f>
        <v>-2225.34</v>
      </c>
      <c r="E70" s="13"/>
      <c r="F70" s="20">
        <f>IF(D$12=0,0,D70/D$12)</f>
        <v>0</v>
      </c>
      <c r="G70" s="13"/>
      <c r="H70" s="21">
        <f>+H19-H21+H68</f>
        <v>-2017</v>
      </c>
      <c r="I70" s="13"/>
      <c r="J70" s="20">
        <f>IF(H$12=0,0,H70/H$12)</f>
        <v>0</v>
      </c>
      <c r="K70" s="16"/>
      <c r="L70" s="21">
        <f>+D70-H70</f>
        <v>-208.34000000000015</v>
      </c>
      <c r="M70" s="16"/>
      <c r="N70" s="20">
        <f>IF(H70=0,0,L70/H70)</f>
        <v>0.10329201784828961</v>
      </c>
      <c r="O70" s="26"/>
      <c r="P70" s="21">
        <f>+P19-P21+P68</f>
        <v>-12270.27</v>
      </c>
      <c r="Q70" s="13"/>
      <c r="R70" s="20">
        <f>IF(P$12=0,0,P70/P$12)</f>
        <v>0</v>
      </c>
      <c r="S70" s="13"/>
      <c r="T70" s="21">
        <f>+T19-T21+T68</f>
        <v>-10085</v>
      </c>
      <c r="U70" s="13"/>
      <c r="V70" s="20">
        <f>IF(T$12=0,0,T70/T$12)</f>
        <v>0</v>
      </c>
      <c r="W70" s="16"/>
      <c r="X70" s="21">
        <f>+P70-T70</f>
        <v>-2185.2700000000004</v>
      </c>
      <c r="Y70" s="16"/>
      <c r="Z70" s="20">
        <f>IF(T70=0,0,X70/T70)</f>
        <v>0.21668517600396633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1">
        <f>+D70-D72</f>
        <v>-2225.34</v>
      </c>
      <c r="E74" s="13"/>
      <c r="F74" s="34">
        <f>IF(D$12=0,0,D74/D$12)</f>
        <v>0</v>
      </c>
      <c r="G74" s="13"/>
      <c r="H74" s="31">
        <f>+H70-H72</f>
        <v>-2017</v>
      </c>
      <c r="I74" s="13"/>
      <c r="J74" s="34">
        <f>IF(H$12=0,0,H74/H$12)</f>
        <v>0</v>
      </c>
      <c r="K74" s="16"/>
      <c r="L74" s="31">
        <f>D74-H74</f>
        <v>-208.34000000000015</v>
      </c>
      <c r="M74" s="16"/>
      <c r="N74" s="34">
        <f>IF(H74=0,0,L74/H74)</f>
        <v>0.10329201784828961</v>
      </c>
      <c r="O74" s="26"/>
      <c r="P74" s="31">
        <f>+P70-P72</f>
        <v>-12270.27</v>
      </c>
      <c r="Q74" s="13"/>
      <c r="R74" s="34">
        <f>IF(P$12=0,0,P74/P$12)</f>
        <v>0</v>
      </c>
      <c r="S74" s="13"/>
      <c r="T74" s="31">
        <f>+T70-T72</f>
        <v>-10085</v>
      </c>
      <c r="U74" s="13"/>
      <c r="V74" s="34">
        <f>IF(T$12=0,0,T74/T$12)</f>
        <v>0</v>
      </c>
      <c r="W74" s="16"/>
      <c r="X74" s="31">
        <f>P74-T74</f>
        <v>-2185.2700000000004</v>
      </c>
      <c r="Y74" s="16"/>
      <c r="Z74" s="34">
        <f>IF(T74=0,0,X74/T74)</f>
        <v>0.21668517600396633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3">
        <f>SUM(D74:D76)</f>
        <v>-2225.34</v>
      </c>
      <c r="E77" s="13"/>
      <c r="F77" s="30">
        <f>IF(D$12=0,0,D77/D$12)</f>
        <v>0</v>
      </c>
      <c r="G77" s="13"/>
      <c r="H77" s="33">
        <f>SUM(H74:H76)</f>
        <v>-2017</v>
      </c>
      <c r="I77" s="13"/>
      <c r="J77" s="30">
        <f>IF(H$12=0,0,H77/H$12)</f>
        <v>0</v>
      </c>
      <c r="K77" s="16"/>
      <c r="L77" s="33">
        <f>+D77-H77</f>
        <v>-208.34000000000015</v>
      </c>
      <c r="M77" s="16"/>
      <c r="N77" s="30">
        <f>IF(H77=0,0,L77/H77)</f>
        <v>0.10329201784828961</v>
      </c>
      <c r="O77" s="26"/>
      <c r="P77" s="33">
        <f>SUM(P74:P76)</f>
        <v>-12270.27</v>
      </c>
      <c r="Q77" s="13"/>
      <c r="R77" s="30">
        <f>IF(P$12=0,0,P77/P$12)</f>
        <v>0</v>
      </c>
      <c r="S77" s="13"/>
      <c r="T77" s="33">
        <f>SUM(T74:T76)</f>
        <v>-10085</v>
      </c>
      <c r="U77" s="13"/>
      <c r="V77" s="30">
        <f>IF(T$12=0,0,T77/T$12)</f>
        <v>0</v>
      </c>
      <c r="W77" s="16"/>
      <c r="X77" s="33">
        <f>+P77-T77</f>
        <v>-2185.2700000000004</v>
      </c>
      <c r="Y77" s="16"/>
      <c r="Z77" s="30">
        <f>IF(T77=0,0,X77/T77)</f>
        <v>0.21668517600396633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5">
        <v>44174.679725000002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7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3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19370</v>
      </c>
      <c r="I12" s="4"/>
      <c r="J12" s="12"/>
      <c r="K12" s="4"/>
      <c r="L12" s="4">
        <f t="shared" ref="L12:L14" si="0">+D12-H12</f>
        <v>-19370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76887</v>
      </c>
      <c r="U12" s="4"/>
      <c r="V12" s="12"/>
      <c r="W12" s="4"/>
      <c r="X12" s="4">
        <f t="shared" ref="X12:X14" si="2">+P12-T12</f>
        <v>-76887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3433</v>
      </c>
      <c r="I13" s="2"/>
      <c r="J13" s="22"/>
      <c r="K13" s="2"/>
      <c r="L13" s="2">
        <f t="shared" si="0"/>
        <v>-3433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13628</v>
      </c>
      <c r="U13" s="2"/>
      <c r="V13" s="22"/>
      <c r="W13" s="2"/>
      <c r="X13" s="2">
        <f t="shared" si="2"/>
        <v>-13628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15937</v>
      </c>
      <c r="I14" s="2"/>
      <c r="J14" s="22"/>
      <c r="K14" s="2"/>
      <c r="L14" s="2">
        <f t="shared" si="0"/>
        <v>-15937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63259.000000000007</v>
      </c>
      <c r="U14" s="2"/>
      <c r="V14" s="22"/>
      <c r="W14" s="2"/>
      <c r="X14" s="2">
        <f t="shared" si="2"/>
        <v>-63259.000000000007</v>
      </c>
      <c r="Y14" s="2"/>
      <c r="Z14" s="22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9" si="6">IF(D$12=0,0,D16/D$12)</f>
        <v>0</v>
      </c>
      <c r="G16" s="4"/>
      <c r="H16" s="4">
        <f>SUM(OSRRefH16x_0)</f>
        <v>7438</v>
      </c>
      <c r="I16" s="4"/>
      <c r="J16" s="12">
        <f t="shared" ref="J16:J19" si="7">IF(H$12=0,0,H16/H$12)</f>
        <v>0.38399586990191015</v>
      </c>
      <c r="K16" s="4"/>
      <c r="L16" s="4">
        <f t="shared" ref="L16:L19" si="8">+D16-H16</f>
        <v>-7438</v>
      </c>
      <c r="M16" s="4"/>
      <c r="N16" s="12">
        <f t="shared" ref="N16:N19" si="9">IF(H16=0,0,L16/H16)</f>
        <v>-1</v>
      </c>
      <c r="O16" s="10"/>
      <c r="P16" s="4">
        <f>SUM(OSRRefP16x_0)</f>
        <v>10847.87</v>
      </c>
      <c r="Q16" s="4"/>
      <c r="R16" s="12">
        <f t="shared" ref="R16:R19" si="10">IF(P$12=0,0,P16/P$12)</f>
        <v>0</v>
      </c>
      <c r="S16" s="4"/>
      <c r="T16" s="4">
        <f>SUM(OSRRefT16x_0)</f>
        <v>27296</v>
      </c>
      <c r="U16" s="4"/>
      <c r="V16" s="12">
        <f t="shared" ref="V16:V19" si="11">IF(T$12=0,0,T16/T$12)</f>
        <v>0.35501450180134481</v>
      </c>
      <c r="W16" s="4"/>
      <c r="X16" s="4">
        <f t="shared" ref="X16:X19" si="12">+P16-T16</f>
        <v>-16448.129999999997</v>
      </c>
      <c r="Y16" s="4"/>
      <c r="Z16" s="12">
        <f t="shared" ref="Z16:Z19" si="13">IF(T16=0,0,X16/T16)</f>
        <v>-0.60258389507620158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7438</v>
      </c>
      <c r="I17" s="2"/>
      <c r="J17" s="22">
        <f t="shared" si="7"/>
        <v>0.38399586990191015</v>
      </c>
      <c r="K17" s="2"/>
      <c r="L17" s="2">
        <f t="shared" si="8"/>
        <v>-7438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27296</v>
      </c>
      <c r="U17" s="2"/>
      <c r="V17" s="22">
        <f t="shared" si="11"/>
        <v>0.35501450180134481</v>
      </c>
      <c r="W17" s="2"/>
      <c r="X17" s="2">
        <f t="shared" si="12"/>
        <v>-27296</v>
      </c>
      <c r="Y17" s="2"/>
      <c r="Z17" s="22">
        <f t="shared" si="13"/>
        <v>-1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0</v>
      </c>
      <c r="M18" s="2"/>
      <c r="N18" s="22">
        <f t="shared" si="9"/>
        <v>0</v>
      </c>
      <c r="O18" s="11"/>
      <c r="P18" s="2">
        <v>-781.13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-781.13</v>
      </c>
      <c r="Y18" s="2"/>
      <c r="Z18" s="22">
        <f t="shared" si="13"/>
        <v>0</v>
      </c>
    </row>
    <row r="19" spans="1:26" s="24" customFormat="1" hidden="1" outlineLevel="1" x14ac:dyDescent="0.25">
      <c r="A19" s="51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22">
        <f t="shared" si="6"/>
        <v>0</v>
      </c>
      <c r="G19" s="2"/>
      <c r="H19" s="2"/>
      <c r="I19" s="2"/>
      <c r="J19" s="22">
        <f t="shared" si="7"/>
        <v>0</v>
      </c>
      <c r="K19" s="2"/>
      <c r="L19" s="2">
        <f t="shared" si="8"/>
        <v>0</v>
      </c>
      <c r="M19" s="2"/>
      <c r="N19" s="22">
        <f t="shared" si="9"/>
        <v>0</v>
      </c>
      <c r="O19" s="11"/>
      <c r="P19" s="2">
        <v>11629</v>
      </c>
      <c r="Q19" s="2"/>
      <c r="R19" s="22">
        <f t="shared" si="10"/>
        <v>0</v>
      </c>
      <c r="S19" s="2"/>
      <c r="T19" s="2"/>
      <c r="U19" s="2"/>
      <c r="V19" s="22">
        <f t="shared" si="11"/>
        <v>0</v>
      </c>
      <c r="W19" s="2"/>
      <c r="X19" s="2">
        <f t="shared" si="12"/>
        <v>11629</v>
      </c>
      <c r="Y19" s="2"/>
      <c r="Z19" s="22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D12-D16</f>
        <v>0</v>
      </c>
      <c r="E21" s="13"/>
      <c r="F21" s="20">
        <f>IF(D$12=0,0,D21/D$12)</f>
        <v>0</v>
      </c>
      <c r="G21" s="13"/>
      <c r="H21" s="21">
        <f>H12-H16</f>
        <v>11932</v>
      </c>
      <c r="I21" s="13"/>
      <c r="J21" s="20">
        <f>IF(H$12=0,0,H21/H$12)</f>
        <v>0.61600413009808985</v>
      </c>
      <c r="K21" s="16"/>
      <c r="L21" s="21">
        <f>+D21-H21</f>
        <v>-11932</v>
      </c>
      <c r="M21" s="16"/>
      <c r="N21" s="20">
        <f>IF(H21=0,0,L21/H21)</f>
        <v>-1</v>
      </c>
      <c r="O21" s="26"/>
      <c r="P21" s="21">
        <f>P12-P16</f>
        <v>-10847.87</v>
      </c>
      <c r="Q21" s="13"/>
      <c r="R21" s="20">
        <f>IF(P$12=0,0,P21/P$12)</f>
        <v>0</v>
      </c>
      <c r="S21" s="13"/>
      <c r="T21" s="21">
        <f>T12-T16</f>
        <v>49591</v>
      </c>
      <c r="U21" s="13"/>
      <c r="V21" s="20">
        <f>IF(T$12=0,0,T21/T$12)</f>
        <v>0.64498549819865514</v>
      </c>
      <c r="W21" s="16"/>
      <c r="X21" s="21">
        <f>+P21-T21</f>
        <v>-60438.87</v>
      </c>
      <c r="Y21" s="16"/>
      <c r="Z21" s="20">
        <f>IF(T21=0,0,X21/T21)</f>
        <v>-1.2187467484019279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19">
        <f>SUM(OSRRefD22x_0)</f>
        <v>10799.75</v>
      </c>
      <c r="E23" s="19"/>
      <c r="F23" s="35">
        <f t="shared" ref="F23:F32" si="14">IF(D$12=0,0,D23/D$12)</f>
        <v>0</v>
      </c>
      <c r="G23" s="19"/>
      <c r="H23" s="19">
        <f>SUM(OSRRefH22x_0)</f>
        <v>26285.9964</v>
      </c>
      <c r="I23" s="19"/>
      <c r="J23" s="35">
        <f t="shared" ref="J23:J32" si="15">IF(H$12=0,0,H23/H$12)</f>
        <v>1.3570467940113577</v>
      </c>
      <c r="K23" s="4"/>
      <c r="L23" s="19">
        <f t="shared" ref="L23:L32" si="16">+D23-H23</f>
        <v>-15486.2464</v>
      </c>
      <c r="M23" s="4"/>
      <c r="N23" s="35">
        <f t="shared" ref="N23:N32" si="17">IF(H23=0,0,L23/H23)</f>
        <v>-0.58914435520503994</v>
      </c>
      <c r="O23" s="10"/>
      <c r="P23" s="19">
        <f>SUM(OSRRefP22x_0)</f>
        <v>57237.600000000006</v>
      </c>
      <c r="Q23" s="19"/>
      <c r="R23" s="35">
        <f t="shared" ref="R23:R32" si="18">IF(P$12=0,0,P23/P$12)</f>
        <v>0</v>
      </c>
      <c r="S23" s="19"/>
      <c r="T23" s="19">
        <f>SUM(OSRRefT22x_0)</f>
        <v>137001.12495999999</v>
      </c>
      <c r="U23" s="19"/>
      <c r="V23" s="35">
        <f t="shared" ref="V23:V32" si="19">IF(T$12=0,0,T23/T$12)</f>
        <v>1.7818503122764575</v>
      </c>
      <c r="W23" s="4"/>
      <c r="X23" s="19">
        <f t="shared" ref="X23:X32" si="20">+P23-T23</f>
        <v>-79763.524959999981</v>
      </c>
      <c r="Y23" s="4"/>
      <c r="Z23" s="35">
        <f t="shared" ref="Z23:Z32" si="21">IF(T23=0,0,X23/T23)</f>
        <v>-0.58221072989939626</v>
      </c>
    </row>
    <row r="24" spans="1:26" s="29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3353.8764000000001</v>
      </c>
      <c r="I24" s="1"/>
      <c r="J24" s="5">
        <f t="shared" si="15"/>
        <v>0.17314798141455859</v>
      </c>
      <c r="K24" s="1"/>
      <c r="L24" s="1">
        <f t="shared" si="16"/>
        <v>-3353.8764000000001</v>
      </c>
      <c r="M24" s="1"/>
      <c r="N24" s="5">
        <f t="shared" si="17"/>
        <v>-1</v>
      </c>
      <c r="O24" s="14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17353.392959999997</v>
      </c>
      <c r="U24" s="1"/>
      <c r="V24" s="5">
        <f t="shared" si="19"/>
        <v>0.22569996176206639</v>
      </c>
      <c r="W24" s="1"/>
      <c r="X24" s="1">
        <f t="shared" si="20"/>
        <v>-14463.672959999998</v>
      </c>
      <c r="Y24" s="1"/>
      <c r="Z24" s="5">
        <f t="shared" si="21"/>
        <v>-0.83347809810675777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4"/>
        <v>0</v>
      </c>
      <c r="G25" s="2"/>
      <c r="H25" s="6">
        <v>318.3648</v>
      </c>
      <c r="I25" s="2"/>
      <c r="J25" s="7">
        <f t="shared" si="15"/>
        <v>1.6435973154362415E-2</v>
      </c>
      <c r="K25" s="2"/>
      <c r="L25" s="6">
        <f t="shared" si="16"/>
        <v>-318.3648</v>
      </c>
      <c r="M25" s="2"/>
      <c r="N25" s="7">
        <f t="shared" si="17"/>
        <v>-1</v>
      </c>
      <c r="O25" s="11"/>
      <c r="P25" s="6">
        <v>159.12</v>
      </c>
      <c r="Q25" s="2"/>
      <c r="R25" s="7">
        <f t="shared" si="18"/>
        <v>0</v>
      </c>
      <c r="S25" s="2"/>
      <c r="T25" s="6">
        <v>1810.6998000000001</v>
      </c>
      <c r="U25" s="2"/>
      <c r="V25" s="7">
        <f t="shared" si="19"/>
        <v>2.3550142416793478E-2</v>
      </c>
      <c r="W25" s="2"/>
      <c r="X25" s="6">
        <f t="shared" si="20"/>
        <v>-1651.5798</v>
      </c>
      <c r="Y25" s="2"/>
      <c r="Z25" s="7">
        <f t="shared" si="21"/>
        <v>-0.91212237390206807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4"/>
        <v>0</v>
      </c>
      <c r="G26" s="2"/>
      <c r="H26" s="6">
        <v>147.18600000000001</v>
      </c>
      <c r="I26" s="2"/>
      <c r="J26" s="7">
        <f t="shared" si="15"/>
        <v>7.5986577181208059E-3</v>
      </c>
      <c r="K26" s="2"/>
      <c r="L26" s="6">
        <f t="shared" si="16"/>
        <v>-147.18600000000001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750.64859999999999</v>
      </c>
      <c r="U26" s="2"/>
      <c r="V26" s="7">
        <f t="shared" si="19"/>
        <v>9.7630106519957863E-3</v>
      </c>
      <c r="W26" s="2"/>
      <c r="X26" s="6">
        <f t="shared" si="20"/>
        <v>-750.64859999999999</v>
      </c>
      <c r="Y26" s="2"/>
      <c r="Z26" s="7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4"/>
        <v>0</v>
      </c>
      <c r="G27" s="2"/>
      <c r="H27" s="6">
        <v>1980</v>
      </c>
      <c r="I27" s="2"/>
      <c r="J27" s="7">
        <f t="shared" si="15"/>
        <v>0.10221992772328342</v>
      </c>
      <c r="K27" s="2"/>
      <c r="L27" s="6">
        <f t="shared" si="16"/>
        <v>-1980</v>
      </c>
      <c r="M27" s="2"/>
      <c r="N27" s="7">
        <f t="shared" si="17"/>
        <v>-1</v>
      </c>
      <c r="O27" s="11"/>
      <c r="P27" s="6">
        <v>1915.63</v>
      </c>
      <c r="Q27" s="2"/>
      <c r="R27" s="7">
        <f t="shared" si="18"/>
        <v>0</v>
      </c>
      <c r="S27" s="2"/>
      <c r="T27" s="6">
        <v>9900</v>
      </c>
      <c r="U27" s="2"/>
      <c r="V27" s="7">
        <f t="shared" si="19"/>
        <v>0.12876038862226385</v>
      </c>
      <c r="W27" s="2"/>
      <c r="X27" s="6">
        <f t="shared" si="20"/>
        <v>-7984.37</v>
      </c>
      <c r="Y27" s="2"/>
      <c r="Z27" s="7">
        <f t="shared" si="21"/>
        <v>-0.80650202020202022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4"/>
        <v>0</v>
      </c>
      <c r="G28" s="2"/>
      <c r="H28" s="6">
        <v>20.685600000000001</v>
      </c>
      <c r="I28" s="2"/>
      <c r="J28" s="7">
        <f t="shared" si="15"/>
        <v>1.0679194630872483E-3</v>
      </c>
      <c r="K28" s="2"/>
      <c r="L28" s="6">
        <f t="shared" si="16"/>
        <v>-20.685600000000001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105.49656</v>
      </c>
      <c r="U28" s="2"/>
      <c r="V28" s="7">
        <f t="shared" si="19"/>
        <v>1.372098794334543E-3</v>
      </c>
      <c r="W28" s="2"/>
      <c r="X28" s="6">
        <f t="shared" si="20"/>
        <v>-105.49656</v>
      </c>
      <c r="Y28" s="2"/>
      <c r="Z28" s="7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4"/>
        <v>0</v>
      </c>
      <c r="G29" s="2"/>
      <c r="H29" s="6">
        <v>357.76</v>
      </c>
      <c r="I29" s="2"/>
      <c r="J29" s="7">
        <f t="shared" si="15"/>
        <v>1.8469798657718119E-2</v>
      </c>
      <c r="K29" s="2"/>
      <c r="L29" s="6">
        <f t="shared" si="16"/>
        <v>-357.76</v>
      </c>
      <c r="M29" s="2"/>
      <c r="N29" s="7">
        <f t="shared" si="17"/>
        <v>-1</v>
      </c>
      <c r="O29" s="11"/>
      <c r="P29" s="6">
        <v>458.89</v>
      </c>
      <c r="Q29" s="2"/>
      <c r="R29" s="7">
        <f t="shared" si="18"/>
        <v>0</v>
      </c>
      <c r="S29" s="2"/>
      <c r="T29" s="6">
        <v>1967.68</v>
      </c>
      <c r="U29" s="2"/>
      <c r="V29" s="7">
        <f t="shared" si="19"/>
        <v>2.5591842574167287E-2</v>
      </c>
      <c r="W29" s="2"/>
      <c r="X29" s="6">
        <f t="shared" si="20"/>
        <v>-1508.79</v>
      </c>
      <c r="Y29" s="2"/>
      <c r="Z29" s="7">
        <f t="shared" si="21"/>
        <v>-0.76678626605952183</v>
      </c>
    </row>
    <row r="30" spans="1:26" s="24" customFormat="1" hidden="1" outlineLevel="2" x14ac:dyDescent="0.25">
      <c r="A30" s="28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4"/>
        <v>0</v>
      </c>
      <c r="G31" s="2"/>
      <c r="H31" s="6">
        <v>208</v>
      </c>
      <c r="I31" s="2"/>
      <c r="J31" s="7">
        <f t="shared" si="15"/>
        <v>1.0738255033557046E-2</v>
      </c>
      <c r="K31" s="2"/>
      <c r="L31" s="6">
        <f t="shared" si="16"/>
        <v>-208</v>
      </c>
      <c r="M31" s="2"/>
      <c r="N31" s="7">
        <f t="shared" si="17"/>
        <v>-1</v>
      </c>
      <c r="O31" s="11"/>
      <c r="P31" s="6">
        <v>152.1</v>
      </c>
      <c r="Q31" s="2"/>
      <c r="R31" s="7">
        <f t="shared" si="18"/>
        <v>0</v>
      </c>
      <c r="S31" s="2"/>
      <c r="T31" s="6">
        <v>1144</v>
      </c>
      <c r="U31" s="2"/>
      <c r="V31" s="7">
        <f t="shared" si="19"/>
        <v>1.4878978240794934E-2</v>
      </c>
      <c r="W31" s="2"/>
      <c r="X31" s="6">
        <f t="shared" si="20"/>
        <v>-991.9</v>
      </c>
      <c r="Y31" s="2"/>
      <c r="Z31" s="7">
        <f t="shared" si="21"/>
        <v>-0.86704545454545456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4"/>
        <v>0</v>
      </c>
      <c r="G32" s="2"/>
      <c r="H32" s="6">
        <v>321.88</v>
      </c>
      <c r="I32" s="2"/>
      <c r="J32" s="7">
        <f t="shared" si="15"/>
        <v>1.6617449664429532E-2</v>
      </c>
      <c r="K32" s="2"/>
      <c r="L32" s="6">
        <f t="shared" si="16"/>
        <v>-321.88</v>
      </c>
      <c r="M32" s="2"/>
      <c r="N32" s="7">
        <f t="shared" si="17"/>
        <v>-1</v>
      </c>
      <c r="O32" s="11"/>
      <c r="P32" s="6">
        <v>203.98</v>
      </c>
      <c r="Q32" s="2"/>
      <c r="R32" s="7">
        <f t="shared" si="18"/>
        <v>0</v>
      </c>
      <c r="S32" s="2"/>
      <c r="T32" s="6">
        <v>1674.8679999999999</v>
      </c>
      <c r="U32" s="2"/>
      <c r="V32" s="7">
        <f t="shared" si="19"/>
        <v>2.1783500461716544E-2</v>
      </c>
      <c r="W32" s="2"/>
      <c r="X32" s="6">
        <f t="shared" si="20"/>
        <v>-1470.8879999999999</v>
      </c>
      <c r="Y32" s="2"/>
      <c r="Z32" s="7">
        <f t="shared" si="21"/>
        <v>-0.87821129784556151</v>
      </c>
    </row>
    <row r="33" spans="1:26" s="29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7426.1200000000008</v>
      </c>
      <c r="I33" s="1"/>
      <c r="J33" s="5">
        <f t="shared" ref="J33:J43" si="23">IF(H$12=0,0,H33/H$12)</f>
        <v>0.3833825503355705</v>
      </c>
      <c r="K33" s="1"/>
      <c r="L33" s="1">
        <f t="shared" ref="L33:L43" si="24">+D33-H33</f>
        <v>-7426.1200000000008</v>
      </c>
      <c r="M33" s="1"/>
      <c r="N33" s="5">
        <f t="shared" ref="N33:N43" si="25">IF(H33=0,0,L33/H33)</f>
        <v>-1</v>
      </c>
      <c r="O33" s="14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37756.731999999996</v>
      </c>
      <c r="U33" s="1"/>
      <c r="V33" s="5">
        <f t="shared" ref="V33:V43" si="27">IF(T$12=0,0,T33/T$12)</f>
        <v>0.49106782681077421</v>
      </c>
      <c r="W33" s="1"/>
      <c r="X33" s="1">
        <f t="shared" ref="X33:X43" si="28">+P33-T33</f>
        <v>-36872.731999999996</v>
      </c>
      <c r="Y33" s="1"/>
      <c r="Z33" s="5">
        <f t="shared" ref="Z33:Z43" si="29">IF(T33=0,0,X33/T33)</f>
        <v>-0.97658695673131879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3744</v>
      </c>
      <c r="I35" s="2"/>
      <c r="J35" s="7">
        <f t="shared" si="23"/>
        <v>0.19328859060402684</v>
      </c>
      <c r="K35" s="2"/>
      <c r="L35" s="6">
        <f t="shared" si="24"/>
        <v>-3744</v>
      </c>
      <c r="M35" s="2"/>
      <c r="N35" s="7">
        <f t="shared" si="25"/>
        <v>-1</v>
      </c>
      <c r="O35" s="11"/>
      <c r="P35" s="6">
        <v>884</v>
      </c>
      <c r="Q35" s="2"/>
      <c r="R35" s="7">
        <f t="shared" si="26"/>
        <v>0</v>
      </c>
      <c r="S35" s="2"/>
      <c r="T35" s="6">
        <v>20592</v>
      </c>
      <c r="U35" s="2"/>
      <c r="V35" s="7">
        <f t="shared" si="27"/>
        <v>0.26782160833430879</v>
      </c>
      <c r="W35" s="2"/>
      <c r="X35" s="6">
        <f t="shared" si="28"/>
        <v>-19708</v>
      </c>
      <c r="Y35" s="2"/>
      <c r="Z35" s="7">
        <f t="shared" si="29"/>
        <v>-0.95707070707070707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1286.22</v>
      </c>
      <c r="I38" s="2"/>
      <c r="J38" s="7">
        <f t="shared" si="23"/>
        <v>6.6402684563758391E-2</v>
      </c>
      <c r="K38" s="2"/>
      <c r="L38" s="6">
        <f t="shared" si="24"/>
        <v>-1286.22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6030.1019999999999</v>
      </c>
      <c r="U38" s="2"/>
      <c r="V38" s="7">
        <f t="shared" si="27"/>
        <v>7.8428108783019229E-2</v>
      </c>
      <c r="W38" s="2"/>
      <c r="X38" s="6">
        <f t="shared" si="28"/>
        <v>-6030.1019999999999</v>
      </c>
      <c r="Y38" s="2"/>
      <c r="Z38" s="7">
        <f t="shared" si="29"/>
        <v>-1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756.6</v>
      </c>
      <c r="U40" s="2"/>
      <c r="V40" s="7">
        <f t="shared" si="27"/>
        <v>9.8404151547075575E-3</v>
      </c>
      <c r="W40" s="2"/>
      <c r="X40" s="6">
        <f t="shared" si="28"/>
        <v>-756.6</v>
      </c>
      <c r="Y40" s="2"/>
      <c r="Z40" s="7">
        <f t="shared" si="29"/>
        <v>-1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2395.9</v>
      </c>
      <c r="I41" s="2"/>
      <c r="J41" s="7">
        <f t="shared" si="23"/>
        <v>0.12369127516778523</v>
      </c>
      <c r="K41" s="2"/>
      <c r="L41" s="6">
        <f t="shared" si="24"/>
        <v>-2395.9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10378.030000000001</v>
      </c>
      <c r="U41" s="2"/>
      <c r="V41" s="7">
        <f t="shared" si="27"/>
        <v>0.13497769453873867</v>
      </c>
      <c r="W41" s="2"/>
      <c r="X41" s="6">
        <f t="shared" si="28"/>
        <v>-10378.030000000001</v>
      </c>
      <c r="Y41" s="2"/>
      <c r="Z41" s="7">
        <f t="shared" si="29"/>
        <v>-1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9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339</v>
      </c>
      <c r="I44" s="1"/>
      <c r="J44" s="5">
        <f t="shared" ref="J44:J52" si="31">IF(H$12=0,0,H44/H$12)</f>
        <v>1.7501290655653073E-2</v>
      </c>
      <c r="K44" s="1"/>
      <c r="L44" s="1">
        <f t="shared" ref="L44:L52" si="32">+D44-H44</f>
        <v>-339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641</v>
      </c>
      <c r="U44" s="1"/>
      <c r="V44" s="5">
        <f t="shared" ref="V44:V52" si="35">IF(T$12=0,0,T44/T$12)</f>
        <v>8.3369100107950622E-3</v>
      </c>
      <c r="W44" s="1"/>
      <c r="X44" s="1">
        <f t="shared" ref="X44:X52" si="36">+P44-T44</f>
        <v>-641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>
        <v>339</v>
      </c>
      <c r="I45" s="2"/>
      <c r="J45" s="7">
        <f t="shared" si="31"/>
        <v>1.7501290655653073E-2</v>
      </c>
      <c r="K45" s="2"/>
      <c r="L45" s="6">
        <f t="shared" si="32"/>
        <v>-339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641</v>
      </c>
      <c r="U45" s="2"/>
      <c r="V45" s="7">
        <f t="shared" si="35"/>
        <v>8.3369100107950622E-3</v>
      </c>
      <c r="W45" s="2"/>
      <c r="X45" s="6">
        <f t="shared" si="36"/>
        <v>-641</v>
      </c>
      <c r="Y45" s="2"/>
      <c r="Z45" s="7">
        <f t="shared" si="37"/>
        <v>-1</v>
      </c>
    </row>
    <row r="46" spans="1:26" s="29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4.1300980898296334E-4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46</v>
      </c>
      <c r="U46" s="1"/>
      <c r="V46" s="5">
        <f t="shared" si="35"/>
        <v>5.9828059359839762E-4</v>
      </c>
      <c r="W46" s="1"/>
      <c r="X46" s="1">
        <f t="shared" si="36"/>
        <v>-46</v>
      </c>
      <c r="Y46" s="1"/>
      <c r="Z46" s="5">
        <f t="shared" si="37"/>
        <v>-1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30"/>
        <v>0</v>
      </c>
      <c r="G47" s="2"/>
      <c r="H47" s="6">
        <v>8</v>
      </c>
      <c r="I47" s="2"/>
      <c r="J47" s="7">
        <f t="shared" si="31"/>
        <v>4.1300980898296334E-4</v>
      </c>
      <c r="K47" s="2"/>
      <c r="L47" s="6">
        <f t="shared" si="32"/>
        <v>-8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46</v>
      </c>
      <c r="U47" s="2"/>
      <c r="V47" s="7">
        <f t="shared" si="35"/>
        <v>5.9828059359839762E-4</v>
      </c>
      <c r="W47" s="2"/>
      <c r="X47" s="6">
        <f t="shared" si="36"/>
        <v>-46</v>
      </c>
      <c r="Y47" s="2"/>
      <c r="Z47" s="7">
        <f t="shared" si="37"/>
        <v>-1</v>
      </c>
    </row>
    <row r="48" spans="1:26" s="29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2969</v>
      </c>
      <c r="I48" s="1"/>
      <c r="J48" s="5">
        <f t="shared" si="31"/>
        <v>0.15327826535880226</v>
      </c>
      <c r="K48" s="1"/>
      <c r="L48" s="1">
        <f t="shared" si="32"/>
        <v>-2969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12587</v>
      </c>
      <c r="U48" s="1"/>
      <c r="V48" s="5">
        <f t="shared" si="35"/>
        <v>0.16370777894832678</v>
      </c>
      <c r="W48" s="1"/>
      <c r="X48" s="1">
        <f t="shared" si="36"/>
        <v>-12587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30"/>
        <v>0</v>
      </c>
      <c r="G49" s="2"/>
      <c r="H49" s="6">
        <v>2969</v>
      </c>
      <c r="I49" s="2"/>
      <c r="J49" s="7">
        <f t="shared" si="31"/>
        <v>0.15327826535880226</v>
      </c>
      <c r="K49" s="2"/>
      <c r="L49" s="6">
        <f t="shared" si="32"/>
        <v>-2969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12587</v>
      </c>
      <c r="U49" s="2"/>
      <c r="V49" s="7">
        <f t="shared" si="35"/>
        <v>0.16370777894832678</v>
      </c>
      <c r="W49" s="2"/>
      <c r="X49" s="6">
        <f t="shared" si="36"/>
        <v>-12587</v>
      </c>
      <c r="Y49" s="2"/>
      <c r="Z49" s="7">
        <f t="shared" si="37"/>
        <v>-1</v>
      </c>
    </row>
    <row r="50" spans="1:26" s="29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0.28244708311822408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4"/>
      <c r="P50" s="1">
        <f>SUM(OSRRefP22_5x_0)</f>
        <v>27801.550000000003</v>
      </c>
      <c r="Q50" s="1"/>
      <c r="R50" s="5">
        <f t="shared" si="34"/>
        <v>0</v>
      </c>
      <c r="S50" s="1"/>
      <c r="T50" s="1">
        <f>SUM(OSRRefT22_5x_0)</f>
        <v>27803</v>
      </c>
      <c r="U50" s="1"/>
      <c r="V50" s="5">
        <f t="shared" si="35"/>
        <v>0.36160859443078802</v>
      </c>
      <c r="W50" s="1"/>
      <c r="X50" s="1">
        <f t="shared" si="36"/>
        <v>-1.4499999999970896</v>
      </c>
      <c r="Y50" s="1"/>
      <c r="Z50" s="5">
        <f t="shared" si="37"/>
        <v>-5.2152645397873956E-5</v>
      </c>
    </row>
    <row r="51" spans="1:26" s="24" customFormat="1" hidden="1" outlineLevel="2" x14ac:dyDescent="0.25">
      <c r="A51" s="28"/>
      <c r="B51" s="11" t="str">
        <f>CONCATENATE("          ", "6321", " - ", "BUILDING DEPRECIATION")</f>
        <v xml:space="preserve">          6321 - BUILDING DEPRECIATION</v>
      </c>
      <c r="C51" s="11"/>
      <c r="D51" s="6">
        <v>5080.51</v>
      </c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5080.51</v>
      </c>
      <c r="M51" s="2"/>
      <c r="N51" s="7">
        <f t="shared" si="33"/>
        <v>0</v>
      </c>
      <c r="O51" s="11"/>
      <c r="P51" s="6">
        <v>25402.550000000003</v>
      </c>
      <c r="Q51" s="2"/>
      <c r="R51" s="7">
        <f t="shared" si="34"/>
        <v>0</v>
      </c>
      <c r="S51" s="2"/>
      <c r="T51" s="6"/>
      <c r="U51" s="2"/>
      <c r="V51" s="7">
        <f t="shared" si="35"/>
        <v>0</v>
      </c>
      <c r="W51" s="2"/>
      <c r="X51" s="6">
        <f t="shared" si="36"/>
        <v>25402.550000000003</v>
      </c>
      <c r="Y51" s="2"/>
      <c r="Z51" s="7">
        <f t="shared" si="37"/>
        <v>0</v>
      </c>
    </row>
    <row r="52" spans="1:26" s="24" customFormat="1" hidden="1" outlineLevel="2" x14ac:dyDescent="0.25">
      <c r="A52" s="28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390.7</v>
      </c>
      <c r="E52" s="2"/>
      <c r="F52" s="7">
        <f t="shared" si="30"/>
        <v>0</v>
      </c>
      <c r="G52" s="2"/>
      <c r="H52" s="6">
        <v>5471</v>
      </c>
      <c r="I52" s="2"/>
      <c r="J52" s="7">
        <f t="shared" si="31"/>
        <v>0.28244708311822408</v>
      </c>
      <c r="K52" s="2"/>
      <c r="L52" s="6">
        <f t="shared" si="32"/>
        <v>-5080.3</v>
      </c>
      <c r="M52" s="2"/>
      <c r="N52" s="7">
        <f t="shared" si="33"/>
        <v>-0.92858709559495523</v>
      </c>
      <c r="O52" s="11"/>
      <c r="P52" s="6">
        <v>2399</v>
      </c>
      <c r="Q52" s="2"/>
      <c r="R52" s="7">
        <f t="shared" si="34"/>
        <v>0</v>
      </c>
      <c r="S52" s="2"/>
      <c r="T52" s="6">
        <v>27803</v>
      </c>
      <c r="U52" s="2"/>
      <c r="V52" s="7">
        <f t="shared" si="35"/>
        <v>0.36160859443078802</v>
      </c>
      <c r="W52" s="2"/>
      <c r="X52" s="6">
        <f t="shared" si="36"/>
        <v>-25404</v>
      </c>
      <c r="Y52" s="2"/>
      <c r="Z52" s="7">
        <f t="shared" si="37"/>
        <v>-0.91371434737258572</v>
      </c>
    </row>
    <row r="53" spans="1:26" s="29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ref="F53:F65" si="38">IF(D$12=0,0,D53/D$12)</f>
        <v>0</v>
      </c>
      <c r="G53" s="1"/>
      <c r="H53" s="1">
        <f>SUM(OSRRefH22_6x_0)</f>
        <v>146</v>
      </c>
      <c r="I53" s="1"/>
      <c r="J53" s="5">
        <f t="shared" ref="J53:J65" si="39">IF(H$12=0,0,H53/H$12)</f>
        <v>7.5374290139390808E-3</v>
      </c>
      <c r="K53" s="1"/>
      <c r="L53" s="1">
        <f t="shared" ref="L53:L65" si="40">+D53-H53</f>
        <v>-146</v>
      </c>
      <c r="M53" s="1"/>
      <c r="N53" s="5">
        <f t="shared" ref="N53:N65" si="41">IF(H53=0,0,L53/H53)</f>
        <v>-1</v>
      </c>
      <c r="O53" s="14"/>
      <c r="P53" s="1">
        <f>SUM(OSRRefP22_6x_0)</f>
        <v>0</v>
      </c>
      <c r="Q53" s="1"/>
      <c r="R53" s="5">
        <f t="shared" ref="R53:R65" si="42">IF(P$12=0,0,P53/P$12)</f>
        <v>0</v>
      </c>
      <c r="S53" s="1"/>
      <c r="T53" s="1">
        <f>SUM(OSRRefT22_6x_0)</f>
        <v>292</v>
      </c>
      <c r="U53" s="1"/>
      <c r="V53" s="5">
        <f t="shared" ref="V53:V65" si="43">IF(T$12=0,0,T53/T$12)</f>
        <v>3.7977811593637415E-3</v>
      </c>
      <c r="W53" s="1"/>
      <c r="X53" s="1">
        <f t="shared" ref="X53:X65" si="44">+P53-T53</f>
        <v>-292</v>
      </c>
      <c r="Y53" s="1"/>
      <c r="Z53" s="5">
        <f t="shared" ref="Z53:Z65" si="45">IF(T53=0,0,X53/T53)</f>
        <v>-1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8"/>
        <v>0</v>
      </c>
      <c r="G54" s="2"/>
      <c r="H54" s="6">
        <v>146</v>
      </c>
      <c r="I54" s="2"/>
      <c r="J54" s="7">
        <f t="shared" si="39"/>
        <v>7.5374290139390808E-3</v>
      </c>
      <c r="K54" s="2"/>
      <c r="L54" s="6">
        <f t="shared" si="40"/>
        <v>-146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292</v>
      </c>
      <c r="U54" s="2"/>
      <c r="V54" s="7">
        <f t="shared" si="43"/>
        <v>3.7977811593637415E-3</v>
      </c>
      <c r="W54" s="2"/>
      <c r="X54" s="6">
        <f t="shared" si="44"/>
        <v>-292</v>
      </c>
      <c r="Y54" s="2"/>
      <c r="Z54" s="7">
        <f t="shared" si="45"/>
        <v>-1</v>
      </c>
    </row>
    <row r="55" spans="1:26" s="29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SUM(OSRRefP22_7x_0)</f>
        <v>754.55</v>
      </c>
      <c r="Q55" s="1"/>
      <c r="R55" s="5">
        <f t="shared" si="42"/>
        <v>0</v>
      </c>
      <c r="S55" s="1"/>
      <c r="T55" s="1">
        <f>SUM(OSRRefT22_7x_0)</f>
        <v>800</v>
      </c>
      <c r="U55" s="1"/>
      <c r="V55" s="5">
        <f t="shared" si="43"/>
        <v>1.0404879888667786E-2</v>
      </c>
      <c r="W55" s="1"/>
      <c r="X55" s="1">
        <f t="shared" si="44"/>
        <v>-45.450000000000045</v>
      </c>
      <c r="Y55" s="1"/>
      <c r="Z55" s="5">
        <f t="shared" si="45"/>
        <v>-5.6812500000000057E-2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>
        <v>754.55</v>
      </c>
      <c r="Q56" s="2"/>
      <c r="R56" s="7">
        <f t="shared" si="42"/>
        <v>0</v>
      </c>
      <c r="S56" s="2"/>
      <c r="T56" s="6">
        <v>800</v>
      </c>
      <c r="U56" s="2"/>
      <c r="V56" s="7">
        <f t="shared" si="43"/>
        <v>1.0404879888667786E-2</v>
      </c>
      <c r="W56" s="2"/>
      <c r="X56" s="6">
        <f t="shared" si="44"/>
        <v>-45.450000000000045</v>
      </c>
      <c r="Y56" s="2"/>
      <c r="Z56" s="7">
        <f t="shared" si="45"/>
        <v>-5.6812500000000057E-2</v>
      </c>
    </row>
    <row r="57" spans="1:26" s="29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SUM(OSRRefD22_8x_0)</f>
        <v>243.54</v>
      </c>
      <c r="E57" s="1"/>
      <c r="F57" s="5">
        <f t="shared" si="38"/>
        <v>0</v>
      </c>
      <c r="G57" s="1"/>
      <c r="H57" s="1">
        <f>SUM(OSRRefH22_8x_0)</f>
        <v>270</v>
      </c>
      <c r="I57" s="1"/>
      <c r="J57" s="5">
        <f t="shared" si="39"/>
        <v>1.3939081053175014E-2</v>
      </c>
      <c r="K57" s="1"/>
      <c r="L57" s="1">
        <f t="shared" si="40"/>
        <v>-26.460000000000008</v>
      </c>
      <c r="M57" s="1"/>
      <c r="N57" s="5">
        <f t="shared" si="41"/>
        <v>-9.8000000000000032E-2</v>
      </c>
      <c r="O57" s="14"/>
      <c r="P57" s="1">
        <f>SUM(OSRRefP22_8x_0)</f>
        <v>1217.7</v>
      </c>
      <c r="Q57" s="1"/>
      <c r="R57" s="5">
        <f t="shared" si="42"/>
        <v>0</v>
      </c>
      <c r="S57" s="1"/>
      <c r="T57" s="1">
        <f>SUM(OSRRefT22_8x_0)</f>
        <v>1350</v>
      </c>
      <c r="U57" s="1"/>
      <c r="V57" s="5">
        <f t="shared" si="43"/>
        <v>1.7558234812126889E-2</v>
      </c>
      <c r="W57" s="1"/>
      <c r="X57" s="1">
        <f t="shared" si="44"/>
        <v>-132.29999999999995</v>
      </c>
      <c r="Y57" s="1"/>
      <c r="Z57" s="5">
        <f t="shared" si="45"/>
        <v>-9.7999999999999962E-2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6">
        <v>243.54</v>
      </c>
      <c r="E58" s="2"/>
      <c r="F58" s="7">
        <f t="shared" si="38"/>
        <v>0</v>
      </c>
      <c r="G58" s="2"/>
      <c r="H58" s="6">
        <v>270</v>
      </c>
      <c r="I58" s="2"/>
      <c r="J58" s="7">
        <f t="shared" si="39"/>
        <v>1.3939081053175014E-2</v>
      </c>
      <c r="K58" s="2"/>
      <c r="L58" s="6">
        <f t="shared" si="40"/>
        <v>-26.460000000000008</v>
      </c>
      <c r="M58" s="2"/>
      <c r="N58" s="7">
        <f t="shared" si="41"/>
        <v>-9.8000000000000032E-2</v>
      </c>
      <c r="O58" s="11"/>
      <c r="P58" s="6">
        <v>1217.7</v>
      </c>
      <c r="Q58" s="2"/>
      <c r="R58" s="7">
        <f t="shared" si="42"/>
        <v>0</v>
      </c>
      <c r="S58" s="2"/>
      <c r="T58" s="6">
        <v>1350</v>
      </c>
      <c r="U58" s="2"/>
      <c r="V58" s="7">
        <f t="shared" si="43"/>
        <v>1.7558234812126889E-2</v>
      </c>
      <c r="W58" s="2"/>
      <c r="X58" s="6">
        <f t="shared" si="44"/>
        <v>-132.29999999999995</v>
      </c>
      <c r="Y58" s="2"/>
      <c r="Z58" s="7">
        <f t="shared" si="45"/>
        <v>-9.7999999999999962E-2</v>
      </c>
    </row>
    <row r="59" spans="1:26" s="29" customFormat="1" outlineLevel="1" collapsed="1" x14ac:dyDescent="0.25">
      <c r="A59" s="27"/>
      <c r="B59" s="14" t="str">
        <f>CONCATENATE("     ","Interest                                          ")</f>
        <v xml:space="preserve">     Interest                                          </v>
      </c>
      <c r="C59" s="14"/>
      <c r="D59" s="1">
        <f>SUM(OSRRefD22_9x_0)</f>
        <v>4044</v>
      </c>
      <c r="E59" s="1"/>
      <c r="F59" s="5">
        <f t="shared" si="38"/>
        <v>0</v>
      </c>
      <c r="G59" s="1"/>
      <c r="H59" s="1">
        <f>SUM(OSRRefH22_9x_0)</f>
        <v>4044</v>
      </c>
      <c r="I59" s="1"/>
      <c r="J59" s="5">
        <f t="shared" si="39"/>
        <v>0.20877645844088796</v>
      </c>
      <c r="K59" s="1"/>
      <c r="L59" s="1">
        <f t="shared" si="40"/>
        <v>0</v>
      </c>
      <c r="M59" s="1"/>
      <c r="N59" s="5">
        <f t="shared" si="41"/>
        <v>0</v>
      </c>
      <c r="O59" s="14"/>
      <c r="P59" s="1">
        <f>SUM(OSRRefP22_9x_0)</f>
        <v>19957.849999999999</v>
      </c>
      <c r="Q59" s="1"/>
      <c r="R59" s="5">
        <f t="shared" si="42"/>
        <v>0</v>
      </c>
      <c r="S59" s="1"/>
      <c r="T59" s="1">
        <f>SUM(OSRRefT22_9x_0)</f>
        <v>20220</v>
      </c>
      <c r="U59" s="1"/>
      <c r="V59" s="5">
        <f t="shared" si="43"/>
        <v>0.26298333918607825</v>
      </c>
      <c r="W59" s="1"/>
      <c r="X59" s="1">
        <f t="shared" si="44"/>
        <v>-262.15000000000146</v>
      </c>
      <c r="Y59" s="1"/>
      <c r="Z59" s="5">
        <f t="shared" si="45"/>
        <v>-1.2964886251236471E-2</v>
      </c>
    </row>
    <row r="60" spans="1:26" s="24" customFormat="1" hidden="1" outlineLevel="2" x14ac:dyDescent="0.25">
      <c r="A60" s="28"/>
      <c r="B60" s="11" t="str">
        <f>CONCATENATE("          ", "6401", " - ", "INTEREST EXPENSE")</f>
        <v xml:space="preserve">          6401 - INTEREST EXPENSE</v>
      </c>
      <c r="C60" s="11"/>
      <c r="D60" s="6">
        <v>4044</v>
      </c>
      <c r="E60" s="2"/>
      <c r="F60" s="7">
        <f t="shared" si="38"/>
        <v>0</v>
      </c>
      <c r="G60" s="2"/>
      <c r="H60" s="6">
        <v>4044</v>
      </c>
      <c r="I60" s="2"/>
      <c r="J60" s="7">
        <f t="shared" si="39"/>
        <v>0.20877645844088796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>
        <v>19957.849999999999</v>
      </c>
      <c r="Q60" s="2"/>
      <c r="R60" s="7">
        <f t="shared" si="42"/>
        <v>0</v>
      </c>
      <c r="S60" s="2"/>
      <c r="T60" s="6">
        <v>20220</v>
      </c>
      <c r="U60" s="2"/>
      <c r="V60" s="7">
        <f t="shared" si="43"/>
        <v>0.26298333918607825</v>
      </c>
      <c r="W60" s="2"/>
      <c r="X60" s="6">
        <f t="shared" si="44"/>
        <v>-262.15000000000146</v>
      </c>
      <c r="Y60" s="2"/>
      <c r="Z60" s="7">
        <f t="shared" si="45"/>
        <v>-1.2964886251236471E-2</v>
      </c>
    </row>
    <row r="61" spans="1:26" s="29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SUM(OSRRefD22_10x_0)</f>
        <v>0</v>
      </c>
      <c r="E61" s="1"/>
      <c r="F61" s="5">
        <f t="shared" si="38"/>
        <v>0</v>
      </c>
      <c r="G61" s="1"/>
      <c r="H61" s="1">
        <f>SUM(OSRRefH22_10x_0)</f>
        <v>0</v>
      </c>
      <c r="I61" s="1"/>
      <c r="J61" s="5">
        <f t="shared" si="39"/>
        <v>0</v>
      </c>
      <c r="K61" s="1"/>
      <c r="L61" s="1">
        <f t="shared" si="40"/>
        <v>0</v>
      </c>
      <c r="M61" s="1"/>
      <c r="N61" s="5">
        <f t="shared" si="41"/>
        <v>0</v>
      </c>
      <c r="O61" s="14"/>
      <c r="P61" s="1">
        <f>SUM(OSRRefP22_10x_0)</f>
        <v>187.12</v>
      </c>
      <c r="Q61" s="1"/>
      <c r="R61" s="5">
        <f t="shared" si="42"/>
        <v>0</v>
      </c>
      <c r="S61" s="1"/>
      <c r="T61" s="1">
        <f>SUM(OSRRefT22_10x_0)</f>
        <v>742</v>
      </c>
      <c r="U61" s="1"/>
      <c r="V61" s="5">
        <f t="shared" si="43"/>
        <v>9.6505260967393713E-3</v>
      </c>
      <c r="W61" s="1"/>
      <c r="X61" s="1">
        <f t="shared" si="44"/>
        <v>-554.88</v>
      </c>
      <c r="Y61" s="1"/>
      <c r="Z61" s="5">
        <f t="shared" si="45"/>
        <v>-0.7478167115902965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/>
      <c r="Q62" s="2"/>
      <c r="R62" s="7">
        <f t="shared" si="42"/>
        <v>0</v>
      </c>
      <c r="S62" s="2"/>
      <c r="T62" s="6">
        <v>43</v>
      </c>
      <c r="U62" s="2"/>
      <c r="V62" s="7">
        <f t="shared" si="43"/>
        <v>5.5926229401589349E-4</v>
      </c>
      <c r="W62" s="2"/>
      <c r="X62" s="6">
        <f t="shared" si="44"/>
        <v>-43</v>
      </c>
      <c r="Y62" s="2"/>
      <c r="Z62" s="7">
        <f t="shared" si="45"/>
        <v>-1</v>
      </c>
    </row>
    <row r="63" spans="1:26" s="24" customFormat="1" hidden="1" outlineLevel="2" x14ac:dyDescent="0.25">
      <c r="A63" s="28"/>
      <c r="B63" s="11" t="str">
        <f>CONCATENATE("          ", "6372", " - ", "COMPUTER HARDWARE MAINTENANCE")</f>
        <v xml:space="preserve">          6372 - COMPUTER HARDWARE MAINTENANCE</v>
      </c>
      <c r="C63" s="11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1"/>
      <c r="P63" s="6"/>
      <c r="Q63" s="2"/>
      <c r="R63" s="7">
        <f t="shared" si="42"/>
        <v>0</v>
      </c>
      <c r="S63" s="2"/>
      <c r="T63" s="6">
        <v>437</v>
      </c>
      <c r="U63" s="2"/>
      <c r="V63" s="7">
        <f t="shared" si="43"/>
        <v>5.6836656391847781E-3</v>
      </c>
      <c r="W63" s="2"/>
      <c r="X63" s="6">
        <f t="shared" si="44"/>
        <v>-437</v>
      </c>
      <c r="Y63" s="2"/>
      <c r="Z63" s="7">
        <f t="shared" si="45"/>
        <v>-1</v>
      </c>
    </row>
    <row r="64" spans="1:26" s="24" customFormat="1" hidden="1" outlineLevel="2" x14ac:dyDescent="0.25">
      <c r="A64" s="28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1"/>
      <c r="P64" s="6">
        <v>187.12</v>
      </c>
      <c r="Q64" s="2"/>
      <c r="R64" s="7">
        <f t="shared" si="42"/>
        <v>0</v>
      </c>
      <c r="S64" s="2"/>
      <c r="T64" s="6">
        <v>103</v>
      </c>
      <c r="U64" s="2"/>
      <c r="V64" s="7">
        <f t="shared" si="43"/>
        <v>1.3396282856659772E-3</v>
      </c>
      <c r="W64" s="2"/>
      <c r="X64" s="6">
        <f t="shared" si="44"/>
        <v>84.12</v>
      </c>
      <c r="Y64" s="2"/>
      <c r="Z64" s="7">
        <f t="shared" si="45"/>
        <v>0.81669902912621362</v>
      </c>
    </row>
    <row r="65" spans="1:26" s="24" customFormat="1" hidden="1" outlineLevel="2" x14ac:dyDescent="0.25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1"/>
      <c r="P65" s="6"/>
      <c r="Q65" s="2"/>
      <c r="R65" s="7">
        <f t="shared" si="42"/>
        <v>0</v>
      </c>
      <c r="S65" s="2"/>
      <c r="T65" s="6">
        <v>159</v>
      </c>
      <c r="U65" s="2"/>
      <c r="V65" s="7">
        <f t="shared" si="43"/>
        <v>2.0679698778727222E-3</v>
      </c>
      <c r="W65" s="2"/>
      <c r="X65" s="6">
        <f t="shared" si="44"/>
        <v>-159</v>
      </c>
      <c r="Y65" s="2"/>
      <c r="Z65" s="7">
        <f t="shared" si="45"/>
        <v>-1</v>
      </c>
    </row>
    <row r="66" spans="1:26" s="29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SUM(OSRRefD22_11x_0)</f>
        <v>289</v>
      </c>
      <c r="E66" s="1"/>
      <c r="F66" s="5">
        <f t="shared" ref="F66:F69" si="46">IF(D$12=0,0,D66/D$12)</f>
        <v>0</v>
      </c>
      <c r="G66" s="1"/>
      <c r="H66" s="1">
        <f>SUM(OSRRefH22_11x_0)</f>
        <v>341</v>
      </c>
      <c r="I66" s="1"/>
      <c r="J66" s="5">
        <f t="shared" ref="J66:J69" si="47">IF(H$12=0,0,H66/H$12)</f>
        <v>1.7604543107898812E-2</v>
      </c>
      <c r="K66" s="1"/>
      <c r="L66" s="1">
        <f t="shared" ref="L66:L69" si="48">+D66-H66</f>
        <v>-52</v>
      </c>
      <c r="M66" s="1"/>
      <c r="N66" s="5">
        <f t="shared" ref="N66:N69" si="49">IF(H66=0,0,L66/H66)</f>
        <v>-0.15249266862170088</v>
      </c>
      <c r="O66" s="14"/>
      <c r="P66" s="1">
        <f>SUM(OSRRefP22_11x_0)</f>
        <v>289</v>
      </c>
      <c r="Q66" s="1"/>
      <c r="R66" s="5">
        <f t="shared" ref="R66:R69" si="50">IF(P$12=0,0,P66/P$12)</f>
        <v>0</v>
      </c>
      <c r="S66" s="1"/>
      <c r="T66" s="1">
        <f>SUM(OSRRefT22_11x_0)</f>
        <v>1743</v>
      </c>
      <c r="U66" s="1"/>
      <c r="V66" s="5">
        <f t="shared" ref="V66:V69" si="51">IF(T$12=0,0,T66/T$12)</f>
        <v>2.2669632057434937E-2</v>
      </c>
      <c r="W66" s="1"/>
      <c r="X66" s="1">
        <f t="shared" ref="X66:X69" si="52">+P66-T66</f>
        <v>-1454</v>
      </c>
      <c r="Y66" s="1"/>
      <c r="Z66" s="5">
        <f t="shared" ref="Z66:Z69" si="53">IF(T66=0,0,X66/T66)</f>
        <v>-0.8341939185312679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314</v>
      </c>
      <c r="U67" s="2"/>
      <c r="V67" s="7">
        <f t="shared" si="51"/>
        <v>4.0839153563021055E-3</v>
      </c>
      <c r="W67" s="2"/>
      <c r="X67" s="6">
        <f t="shared" si="52"/>
        <v>-314</v>
      </c>
      <c r="Y67" s="2"/>
      <c r="Z67" s="7">
        <f t="shared" si="53"/>
        <v>-1</v>
      </c>
    </row>
    <row r="68" spans="1:26" s="24" customFormat="1" hidden="1" outlineLevel="2" x14ac:dyDescent="0.25">
      <c r="A68" s="28"/>
      <c r="B68" s="11" t="str">
        <f>CONCATENATE("          ", "6284", " - ", "TRASH REMOVAL EXPENSE")</f>
        <v xml:space="preserve">          6284 - TRASH REMOVAL EXPENSE</v>
      </c>
      <c r="C68" s="11"/>
      <c r="D68" s="6">
        <v>289</v>
      </c>
      <c r="E68" s="2"/>
      <c r="F68" s="7">
        <f t="shared" si="46"/>
        <v>0</v>
      </c>
      <c r="G68" s="2"/>
      <c r="H68" s="6">
        <v>237</v>
      </c>
      <c r="I68" s="2"/>
      <c r="J68" s="7">
        <f t="shared" si="47"/>
        <v>1.2235415591120289E-2</v>
      </c>
      <c r="K68" s="2"/>
      <c r="L68" s="6">
        <f t="shared" si="48"/>
        <v>52</v>
      </c>
      <c r="M68" s="2"/>
      <c r="N68" s="7">
        <f t="shared" si="49"/>
        <v>0.21940928270042195</v>
      </c>
      <c r="O68" s="11"/>
      <c r="P68" s="6">
        <v>289</v>
      </c>
      <c r="Q68" s="2"/>
      <c r="R68" s="7">
        <f t="shared" si="50"/>
        <v>0</v>
      </c>
      <c r="S68" s="2"/>
      <c r="T68" s="6">
        <v>948</v>
      </c>
      <c r="U68" s="2"/>
      <c r="V68" s="7">
        <f t="shared" si="51"/>
        <v>1.2329782668071325E-2</v>
      </c>
      <c r="W68" s="2"/>
      <c r="X68" s="6">
        <f t="shared" si="52"/>
        <v>-659</v>
      </c>
      <c r="Y68" s="2"/>
      <c r="Z68" s="7">
        <f t="shared" si="53"/>
        <v>-0.69514767932489452</v>
      </c>
    </row>
    <row r="69" spans="1:26" s="24" customFormat="1" hidden="1" outlineLevel="2" x14ac:dyDescent="0.25">
      <c r="A69" s="28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6"/>
        <v>0</v>
      </c>
      <c r="G69" s="2"/>
      <c r="H69" s="6">
        <v>104</v>
      </c>
      <c r="I69" s="2"/>
      <c r="J69" s="7">
        <f t="shared" si="47"/>
        <v>5.3691275167785232E-3</v>
      </c>
      <c r="K69" s="2"/>
      <c r="L69" s="6">
        <f t="shared" si="48"/>
        <v>-104</v>
      </c>
      <c r="M69" s="2"/>
      <c r="N69" s="7">
        <f t="shared" si="49"/>
        <v>-1</v>
      </c>
      <c r="O69" s="11"/>
      <c r="P69" s="6"/>
      <c r="Q69" s="2"/>
      <c r="R69" s="7">
        <f t="shared" si="50"/>
        <v>0</v>
      </c>
      <c r="S69" s="2"/>
      <c r="T69" s="6">
        <v>481</v>
      </c>
      <c r="U69" s="2"/>
      <c r="V69" s="7">
        <f t="shared" si="51"/>
        <v>6.2559340330615061E-3</v>
      </c>
      <c r="W69" s="2"/>
      <c r="X69" s="6">
        <f t="shared" si="52"/>
        <v>-481</v>
      </c>
      <c r="Y69" s="2"/>
      <c r="Z69" s="7">
        <f t="shared" si="53"/>
        <v>-1</v>
      </c>
    </row>
    <row r="70" spans="1:26" s="29" customFormat="1" outlineLevel="1" collapsed="1" x14ac:dyDescent="0.25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SUM(OSRRefD22_12x_0)</f>
        <v>0</v>
      </c>
      <c r="E70" s="1"/>
      <c r="F70" s="5">
        <f t="shared" ref="F70:F77" si="54">IF(D$12=0,0,D70/D$12)</f>
        <v>0</v>
      </c>
      <c r="G70" s="1"/>
      <c r="H70" s="1">
        <f>SUM(OSRRefH22_12x_0)</f>
        <v>176</v>
      </c>
      <c r="I70" s="1"/>
      <c r="J70" s="5">
        <f t="shared" ref="J70:J77" si="55">IF(H$12=0,0,H70/H$12)</f>
        <v>9.0862157976251932E-3</v>
      </c>
      <c r="K70" s="1"/>
      <c r="L70" s="1">
        <f t="shared" ref="L70:L77" si="56">+D70-H70</f>
        <v>-176</v>
      </c>
      <c r="M70" s="1"/>
      <c r="N70" s="5">
        <f t="shared" ref="N70:N77" si="57">IF(H70=0,0,L70/H70)</f>
        <v>-1</v>
      </c>
      <c r="O70" s="14"/>
      <c r="P70" s="1">
        <f>SUM(OSRRefP22_12x_0)</f>
        <v>0</v>
      </c>
      <c r="Q70" s="1"/>
      <c r="R70" s="5">
        <f t="shared" ref="R70:R77" si="58">IF(P$12=0,0,P70/P$12)</f>
        <v>0</v>
      </c>
      <c r="S70" s="1"/>
      <c r="T70" s="1">
        <f>SUM(OSRRefT22_12x_0)</f>
        <v>880</v>
      </c>
      <c r="U70" s="1"/>
      <c r="V70" s="5">
        <f t="shared" ref="V70:V77" si="59">IF(T$12=0,0,T70/T$12)</f>
        <v>1.1445367877534564E-2</v>
      </c>
      <c r="W70" s="1"/>
      <c r="X70" s="1">
        <f t="shared" ref="X70:X77" si="60">+P70-T70</f>
        <v>-880</v>
      </c>
      <c r="Y70" s="1"/>
      <c r="Z70" s="5">
        <f t="shared" ref="Z70:Z77" si="61">IF(T70=0,0,X70/T70)</f>
        <v>-1</v>
      </c>
    </row>
    <row r="71" spans="1:26" s="24" customFormat="1" hidden="1" outlineLevel="2" x14ac:dyDescent="0.25">
      <c r="A71" s="28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54"/>
        <v>0</v>
      </c>
      <c r="G71" s="2"/>
      <c r="H71" s="6">
        <v>176</v>
      </c>
      <c r="I71" s="2"/>
      <c r="J71" s="7">
        <f t="shared" si="55"/>
        <v>9.0862157976251932E-3</v>
      </c>
      <c r="K71" s="2"/>
      <c r="L71" s="6">
        <f t="shared" si="56"/>
        <v>-176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880</v>
      </c>
      <c r="U71" s="2"/>
      <c r="V71" s="7">
        <f t="shared" si="59"/>
        <v>1.1445367877534564E-2</v>
      </c>
      <c r="W71" s="2"/>
      <c r="X71" s="6">
        <f t="shared" si="60"/>
        <v>-880</v>
      </c>
      <c r="Y71" s="2"/>
      <c r="Z71" s="7">
        <f t="shared" si="61"/>
        <v>-1</v>
      </c>
    </row>
    <row r="72" spans="1:26" s="29" customFormat="1" outlineLevel="1" collapsed="1" x14ac:dyDescent="0.25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SUM(OSRRefD22_13x_0)</f>
        <v>0</v>
      </c>
      <c r="E72" s="1"/>
      <c r="F72" s="5">
        <f t="shared" si="54"/>
        <v>0</v>
      </c>
      <c r="G72" s="1"/>
      <c r="H72" s="1">
        <f>SUM(OSRRefH22_13x_0)</f>
        <v>931</v>
      </c>
      <c r="I72" s="1"/>
      <c r="J72" s="5">
        <f t="shared" si="55"/>
        <v>4.8064016520392362E-2</v>
      </c>
      <c r="K72" s="1"/>
      <c r="L72" s="1">
        <f t="shared" si="56"/>
        <v>-931</v>
      </c>
      <c r="M72" s="1"/>
      <c r="N72" s="5">
        <f t="shared" si="57"/>
        <v>-1</v>
      </c>
      <c r="O72" s="14"/>
      <c r="P72" s="1">
        <f>SUM(OSRRefP22_13x_0)</f>
        <v>634.24</v>
      </c>
      <c r="Q72" s="1"/>
      <c r="R72" s="5">
        <f t="shared" si="58"/>
        <v>0</v>
      </c>
      <c r="S72" s="1"/>
      <c r="T72" s="1">
        <f>SUM(OSRRefT22_13x_0)</f>
        <v>9708</v>
      </c>
      <c r="U72" s="1"/>
      <c r="V72" s="5">
        <f t="shared" si="59"/>
        <v>0.12626321744898358</v>
      </c>
      <c r="W72" s="1"/>
      <c r="X72" s="1">
        <f t="shared" si="60"/>
        <v>-9073.76</v>
      </c>
      <c r="Y72" s="1"/>
      <c r="Z72" s="5">
        <f t="shared" si="61"/>
        <v>-0.93466831479192425</v>
      </c>
    </row>
    <row r="73" spans="1:26" s="24" customFormat="1" hidden="1" outlineLevel="2" x14ac:dyDescent="0.25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54"/>
        <v>0</v>
      </c>
      <c r="G73" s="2"/>
      <c r="H73" s="6">
        <v>28</v>
      </c>
      <c r="I73" s="2"/>
      <c r="J73" s="7">
        <f t="shared" si="55"/>
        <v>1.4455343314403717E-3</v>
      </c>
      <c r="K73" s="2"/>
      <c r="L73" s="6">
        <f t="shared" si="56"/>
        <v>-28</v>
      </c>
      <c r="M73" s="2"/>
      <c r="N73" s="7">
        <f t="shared" si="57"/>
        <v>-1</v>
      </c>
      <c r="O73" s="11"/>
      <c r="P73" s="6">
        <v>316.67</v>
      </c>
      <c r="Q73" s="2"/>
      <c r="R73" s="7">
        <f t="shared" si="58"/>
        <v>0</v>
      </c>
      <c r="S73" s="2"/>
      <c r="T73" s="6">
        <v>28</v>
      </c>
      <c r="U73" s="2"/>
      <c r="V73" s="7">
        <f t="shared" si="59"/>
        <v>3.6417079610337249E-4</v>
      </c>
      <c r="W73" s="2"/>
      <c r="X73" s="6">
        <f t="shared" si="60"/>
        <v>288.67</v>
      </c>
      <c r="Y73" s="2"/>
      <c r="Z73" s="7">
        <f t="shared" si="61"/>
        <v>10.309642857142858</v>
      </c>
    </row>
    <row r="74" spans="1:26" s="24" customFormat="1" hidden="1" outlineLevel="2" x14ac:dyDescent="0.25">
      <c r="A74" s="28"/>
      <c r="B74" s="11" t="str">
        <f>CONCATENATE("          ", "6235", " - ", "COVID-19 EXPENSES")</f>
        <v xml:space="preserve">          6235 - COVID-19 EXPENSES</v>
      </c>
      <c r="C74" s="11"/>
      <c r="D74" s="6"/>
      <c r="E74" s="2"/>
      <c r="F74" s="7">
        <f t="shared" si="54"/>
        <v>0</v>
      </c>
      <c r="G74" s="2"/>
      <c r="H74" s="6">
        <v>200</v>
      </c>
      <c r="I74" s="2"/>
      <c r="J74" s="7">
        <f t="shared" si="55"/>
        <v>1.0325245224574084E-2</v>
      </c>
      <c r="K74" s="2"/>
      <c r="L74" s="6">
        <f t="shared" si="56"/>
        <v>-200</v>
      </c>
      <c r="M74" s="2"/>
      <c r="N74" s="7">
        <f t="shared" si="57"/>
        <v>-1</v>
      </c>
      <c r="O74" s="11"/>
      <c r="P74" s="6"/>
      <c r="Q74" s="2"/>
      <c r="R74" s="7">
        <f t="shared" si="58"/>
        <v>0</v>
      </c>
      <c r="S74" s="2"/>
      <c r="T74" s="6">
        <v>1700</v>
      </c>
      <c r="U74" s="2"/>
      <c r="V74" s="7">
        <f t="shared" si="59"/>
        <v>2.2110369763419045E-2</v>
      </c>
      <c r="W74" s="2"/>
      <c r="X74" s="6">
        <f t="shared" si="60"/>
        <v>-1700</v>
      </c>
      <c r="Y74" s="2"/>
      <c r="Z74" s="7">
        <f t="shared" si="61"/>
        <v>-1</v>
      </c>
    </row>
    <row r="75" spans="1:26" s="24" customFormat="1" hidden="1" outlineLevel="2" x14ac:dyDescent="0.25">
      <c r="A75" s="28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54"/>
        <v>0</v>
      </c>
      <c r="G75" s="2"/>
      <c r="H75" s="6">
        <v>16</v>
      </c>
      <c r="I75" s="2"/>
      <c r="J75" s="7">
        <f t="shared" si="55"/>
        <v>8.2601961796592669E-4</v>
      </c>
      <c r="K75" s="2"/>
      <c r="L75" s="6">
        <f t="shared" si="56"/>
        <v>-16</v>
      </c>
      <c r="M75" s="2"/>
      <c r="N75" s="7">
        <f t="shared" si="57"/>
        <v>-1</v>
      </c>
      <c r="O75" s="11"/>
      <c r="P75" s="6">
        <v>317.57</v>
      </c>
      <c r="Q75" s="2"/>
      <c r="R75" s="7">
        <f t="shared" si="58"/>
        <v>0</v>
      </c>
      <c r="S75" s="2"/>
      <c r="T75" s="6">
        <v>254</v>
      </c>
      <c r="U75" s="2"/>
      <c r="V75" s="7">
        <f t="shared" si="59"/>
        <v>3.3035493646520219E-3</v>
      </c>
      <c r="W75" s="2"/>
      <c r="X75" s="6">
        <f t="shared" si="60"/>
        <v>63.569999999999993</v>
      </c>
      <c r="Y75" s="2"/>
      <c r="Z75" s="7">
        <f t="shared" si="61"/>
        <v>0.25027559055118109</v>
      </c>
    </row>
    <row r="76" spans="1:26" s="24" customFormat="1" hidden="1" outlineLevel="2" x14ac:dyDescent="0.25">
      <c r="A76" s="28"/>
      <c r="B76" s="11" t="str">
        <f>CONCATENATE("          ", "6243", " - ", "PAPER SUPPLIES")</f>
        <v xml:space="preserve">          6243 - PAPER SUPPLIES</v>
      </c>
      <c r="C76" s="11"/>
      <c r="D76" s="6"/>
      <c r="E76" s="2"/>
      <c r="F76" s="7">
        <f t="shared" si="54"/>
        <v>0</v>
      </c>
      <c r="G76" s="2"/>
      <c r="H76" s="6">
        <v>246</v>
      </c>
      <c r="I76" s="2"/>
      <c r="J76" s="7">
        <f t="shared" si="55"/>
        <v>1.2700051626226123E-2</v>
      </c>
      <c r="K76" s="2"/>
      <c r="L76" s="6">
        <f t="shared" si="56"/>
        <v>-246</v>
      </c>
      <c r="M76" s="2"/>
      <c r="N76" s="7">
        <f t="shared" si="57"/>
        <v>-1</v>
      </c>
      <c r="O76" s="11"/>
      <c r="P76" s="6"/>
      <c r="Q76" s="2"/>
      <c r="R76" s="7">
        <f t="shared" si="58"/>
        <v>0</v>
      </c>
      <c r="S76" s="2"/>
      <c r="T76" s="6">
        <v>676</v>
      </c>
      <c r="U76" s="2"/>
      <c r="V76" s="7">
        <f t="shared" si="59"/>
        <v>8.7921235059242788E-3</v>
      </c>
      <c r="W76" s="2"/>
      <c r="X76" s="6">
        <f t="shared" si="60"/>
        <v>-676</v>
      </c>
      <c r="Y76" s="2"/>
      <c r="Z76" s="7">
        <f t="shared" si="61"/>
        <v>-1</v>
      </c>
    </row>
    <row r="77" spans="1:26" s="24" customFormat="1" hidden="1" outlineLevel="2" x14ac:dyDescent="0.25">
      <c r="A77" s="28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54"/>
        <v>0</v>
      </c>
      <c r="G77" s="2"/>
      <c r="H77" s="6">
        <v>441</v>
      </c>
      <c r="I77" s="2"/>
      <c r="J77" s="7">
        <f t="shared" si="55"/>
        <v>2.2767165720185854E-2</v>
      </c>
      <c r="K77" s="2"/>
      <c r="L77" s="6">
        <f t="shared" si="56"/>
        <v>-441</v>
      </c>
      <c r="M77" s="2"/>
      <c r="N77" s="7">
        <f t="shared" si="57"/>
        <v>-1</v>
      </c>
      <c r="O77" s="11"/>
      <c r="P77" s="6"/>
      <c r="Q77" s="2"/>
      <c r="R77" s="7">
        <f t="shared" si="58"/>
        <v>0</v>
      </c>
      <c r="S77" s="2"/>
      <c r="T77" s="6">
        <v>7050</v>
      </c>
      <c r="U77" s="2"/>
      <c r="V77" s="7">
        <f t="shared" si="59"/>
        <v>9.1693004018884861E-2</v>
      </c>
      <c r="W77" s="2"/>
      <c r="X77" s="6">
        <f t="shared" si="60"/>
        <v>-7050</v>
      </c>
      <c r="Y77" s="2"/>
      <c r="Z77" s="7">
        <f t="shared" si="61"/>
        <v>-1</v>
      </c>
    </row>
    <row r="78" spans="1:26" s="29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-126</v>
      </c>
      <c r="E78" s="1"/>
      <c r="F78" s="5">
        <f t="shared" ref="F78:F80" si="62">IF(D$12=0,0,D78/D$12)</f>
        <v>0</v>
      </c>
      <c r="G78" s="1"/>
      <c r="H78" s="1">
        <f>SUM(OSRRefH22_14x_0)</f>
        <v>40</v>
      </c>
      <c r="I78" s="1"/>
      <c r="J78" s="5">
        <f t="shared" ref="J78:J80" si="63">IF(H$12=0,0,H78/H$12)</f>
        <v>2.0650490449148169E-3</v>
      </c>
      <c r="K78" s="1"/>
      <c r="L78" s="1">
        <f t="shared" ref="L78:L80" si="64">+D78-H78</f>
        <v>-166</v>
      </c>
      <c r="M78" s="1"/>
      <c r="N78" s="5">
        <f t="shared" ref="N78:N80" si="65">IF(H78=0,0,L78/H78)</f>
        <v>-4.1500000000000004</v>
      </c>
      <c r="O78" s="14"/>
      <c r="P78" s="1">
        <f>SUM(OSRRefP22_14x_0)</f>
        <v>865.87</v>
      </c>
      <c r="Q78" s="1"/>
      <c r="R78" s="5">
        <f t="shared" ref="R78:R80" si="66">IF(P$12=0,0,P78/P$12)</f>
        <v>0</v>
      </c>
      <c r="S78" s="1"/>
      <c r="T78" s="1">
        <f>SUM(OSRRefT22_14x_0)</f>
        <v>495</v>
      </c>
      <c r="U78" s="1"/>
      <c r="V78" s="5">
        <f t="shared" ref="V78:V80" si="67">IF(T$12=0,0,T78/T$12)</f>
        <v>6.4380194311131917E-3</v>
      </c>
      <c r="W78" s="1"/>
      <c r="X78" s="1">
        <f t="shared" ref="X78:X80" si="68">+P78-T78</f>
        <v>370.87</v>
      </c>
      <c r="Y78" s="1"/>
      <c r="Z78" s="5">
        <f t="shared" ref="Z78:Z80" si="69">IF(T78=0,0,X78/T78)</f>
        <v>0.74923232323232325</v>
      </c>
    </row>
    <row r="79" spans="1:26" s="24" customFormat="1" hidden="1" outlineLevel="2" x14ac:dyDescent="0.25">
      <c r="A79" s="28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62"/>
        <v>0</v>
      </c>
      <c r="G79" s="2"/>
      <c r="H79" s="6">
        <v>40</v>
      </c>
      <c r="I79" s="2"/>
      <c r="J79" s="7">
        <f t="shared" si="63"/>
        <v>2.0650490449148169E-3</v>
      </c>
      <c r="K79" s="2"/>
      <c r="L79" s="6">
        <f t="shared" si="64"/>
        <v>-40</v>
      </c>
      <c r="M79" s="2"/>
      <c r="N79" s="7">
        <f t="shared" si="65"/>
        <v>-1</v>
      </c>
      <c r="O79" s="11"/>
      <c r="P79" s="6"/>
      <c r="Q79" s="2"/>
      <c r="R79" s="7">
        <f t="shared" si="66"/>
        <v>0</v>
      </c>
      <c r="S79" s="2"/>
      <c r="T79" s="6">
        <v>195</v>
      </c>
      <c r="U79" s="2"/>
      <c r="V79" s="7">
        <f t="shared" si="67"/>
        <v>2.5361894728627727E-3</v>
      </c>
      <c r="W79" s="2"/>
      <c r="X79" s="6">
        <f t="shared" si="68"/>
        <v>-195</v>
      </c>
      <c r="Y79" s="2"/>
      <c r="Z79" s="7">
        <f t="shared" si="69"/>
        <v>-1</v>
      </c>
    </row>
    <row r="80" spans="1:26" s="24" customFormat="1" hidden="1" outlineLevel="2" x14ac:dyDescent="0.25">
      <c r="A80" s="28"/>
      <c r="B80" s="11" t="str">
        <f>CONCATENATE("          ", "6309", " - ", "TELEPHONE")</f>
        <v xml:space="preserve">          6309 - TELEPHONE</v>
      </c>
      <c r="C80" s="11"/>
      <c r="D80" s="6">
        <v>-126</v>
      </c>
      <c r="E80" s="2"/>
      <c r="F80" s="7">
        <f t="shared" si="62"/>
        <v>0</v>
      </c>
      <c r="G80" s="2"/>
      <c r="H80" s="6"/>
      <c r="I80" s="2"/>
      <c r="J80" s="7">
        <f t="shared" si="63"/>
        <v>0</v>
      </c>
      <c r="K80" s="2"/>
      <c r="L80" s="6">
        <f t="shared" si="64"/>
        <v>-126</v>
      </c>
      <c r="M80" s="2"/>
      <c r="N80" s="7">
        <f t="shared" si="65"/>
        <v>0</v>
      </c>
      <c r="O80" s="11"/>
      <c r="P80" s="6">
        <v>865.87</v>
      </c>
      <c r="Q80" s="2"/>
      <c r="R80" s="7">
        <f t="shared" si="66"/>
        <v>0</v>
      </c>
      <c r="S80" s="2"/>
      <c r="T80" s="6">
        <v>300</v>
      </c>
      <c r="U80" s="2"/>
      <c r="V80" s="7">
        <f t="shared" si="67"/>
        <v>3.9018299582504194E-3</v>
      </c>
      <c r="W80" s="2"/>
      <c r="X80" s="6">
        <f t="shared" si="68"/>
        <v>565.87</v>
      </c>
      <c r="Y80" s="2"/>
      <c r="Z80" s="7">
        <f t="shared" si="69"/>
        <v>1.8862333333333334</v>
      </c>
    </row>
    <row r="81" spans="1:26" s="29" customFormat="1" outlineLevel="1" collapsed="1" x14ac:dyDescent="0.25">
      <c r="A81" s="27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SUM(OSRRefD22_15x_0)</f>
        <v>0</v>
      </c>
      <c r="E81" s="1"/>
      <c r="F81" s="5">
        <f t="shared" ref="F81:F84" si="70">IF(D$12=0,0,D81/D$12)</f>
        <v>0</v>
      </c>
      <c r="G81" s="1"/>
      <c r="H81" s="1">
        <f>SUM(OSRRefH22_15x_0)</f>
        <v>0</v>
      </c>
      <c r="I81" s="1"/>
      <c r="J81" s="5">
        <f t="shared" ref="J81:J84" si="71">IF(H$12=0,0,H81/H$12)</f>
        <v>0</v>
      </c>
      <c r="K81" s="1"/>
      <c r="L81" s="1">
        <f t="shared" ref="L81:L84" si="72">+D81-H81</f>
        <v>0</v>
      </c>
      <c r="M81" s="1"/>
      <c r="N81" s="5">
        <f t="shared" ref="N81:N84" si="73">IF(H81=0,0,L81/H81)</f>
        <v>0</v>
      </c>
      <c r="O81" s="14"/>
      <c r="P81" s="1">
        <f>SUM(OSRRefP22_15x_0)</f>
        <v>0</v>
      </c>
      <c r="Q81" s="1"/>
      <c r="R81" s="5">
        <f t="shared" ref="R81:R84" si="74">IF(P$12=0,0,P81/P$12)</f>
        <v>0</v>
      </c>
      <c r="S81" s="1"/>
      <c r="T81" s="1">
        <f>SUM(OSRRefT22_15x_0)</f>
        <v>1500</v>
      </c>
      <c r="U81" s="1"/>
      <c r="V81" s="5">
        <f t="shared" ref="V81:V84" si="75">IF(T$12=0,0,T81/T$12)</f>
        <v>1.9509149791252098E-2</v>
      </c>
      <c r="W81" s="1"/>
      <c r="X81" s="1">
        <f t="shared" ref="X81:X84" si="76">+P81-T81</f>
        <v>-1500</v>
      </c>
      <c r="Y81" s="1"/>
      <c r="Z81" s="5">
        <f t="shared" ref="Z81:Z84" si="77">IF(T81=0,0,X81/T81)</f>
        <v>-1</v>
      </c>
    </row>
    <row r="82" spans="1:26" s="24" customFormat="1" hidden="1" outlineLevel="2" x14ac:dyDescent="0.25">
      <c r="A82" s="28"/>
      <c r="B82" s="11" t="str">
        <f>CONCATENATE("          ", "6292", " - ", "TRAVEL/CONFERENCE")</f>
        <v xml:space="preserve">          6292 - TRAVEL/CONFERENCE</v>
      </c>
      <c r="C82" s="11"/>
      <c r="D82" s="6"/>
      <c r="E82" s="2"/>
      <c r="F82" s="7">
        <f t="shared" si="70"/>
        <v>0</v>
      </c>
      <c r="G82" s="2"/>
      <c r="H82" s="6"/>
      <c r="I82" s="2"/>
      <c r="J82" s="7">
        <f t="shared" si="71"/>
        <v>0</v>
      </c>
      <c r="K82" s="2"/>
      <c r="L82" s="6">
        <f t="shared" si="72"/>
        <v>0</v>
      </c>
      <c r="M82" s="2"/>
      <c r="N82" s="7">
        <f t="shared" si="73"/>
        <v>0</v>
      </c>
      <c r="O82" s="11"/>
      <c r="P82" s="6"/>
      <c r="Q82" s="2"/>
      <c r="R82" s="7">
        <f t="shared" si="74"/>
        <v>0</v>
      </c>
      <c r="S82" s="2"/>
      <c r="T82" s="6">
        <v>1500</v>
      </c>
      <c r="U82" s="2"/>
      <c r="V82" s="7">
        <f t="shared" si="75"/>
        <v>1.9509149791252098E-2</v>
      </c>
      <c r="W82" s="2"/>
      <c r="X82" s="6">
        <f t="shared" si="76"/>
        <v>-1500</v>
      </c>
      <c r="Y82" s="2"/>
      <c r="Z82" s="7">
        <f t="shared" si="77"/>
        <v>-1</v>
      </c>
    </row>
    <row r="83" spans="1:26" s="29" customFormat="1" outlineLevel="1" collapsed="1" x14ac:dyDescent="0.25">
      <c r="A83" s="27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878</v>
      </c>
      <c r="E83" s="1"/>
      <c r="F83" s="5">
        <f t="shared" si="70"/>
        <v>0</v>
      </c>
      <c r="G83" s="1"/>
      <c r="H83" s="1">
        <f>SUM(OSRRefH22_16x_0)</f>
        <v>771</v>
      </c>
      <c r="I83" s="1"/>
      <c r="J83" s="5">
        <f t="shared" si="71"/>
        <v>3.9803820340733091E-2</v>
      </c>
      <c r="K83" s="1"/>
      <c r="L83" s="1">
        <f t="shared" si="72"/>
        <v>107</v>
      </c>
      <c r="M83" s="1"/>
      <c r="N83" s="5">
        <f t="shared" si="73"/>
        <v>0.13878080415045396</v>
      </c>
      <c r="O83" s="14"/>
      <c r="P83" s="1">
        <f>SUM(OSRRefP22_16x_0)</f>
        <v>1756</v>
      </c>
      <c r="Q83" s="1"/>
      <c r="R83" s="5">
        <f t="shared" si="74"/>
        <v>0</v>
      </c>
      <c r="S83" s="1"/>
      <c r="T83" s="1">
        <f>SUM(OSRRefT22_16x_0)</f>
        <v>3084</v>
      </c>
      <c r="U83" s="1"/>
      <c r="V83" s="5">
        <f t="shared" si="75"/>
        <v>4.0110811970814314E-2</v>
      </c>
      <c r="W83" s="1"/>
      <c r="X83" s="1">
        <f t="shared" si="76"/>
        <v>-1328</v>
      </c>
      <c r="Y83" s="1"/>
      <c r="Z83" s="5">
        <f t="shared" si="77"/>
        <v>-0.43060959792477305</v>
      </c>
    </row>
    <row r="84" spans="1:26" s="24" customFormat="1" hidden="1" outlineLevel="2" x14ac:dyDescent="0.25">
      <c r="A84" s="28"/>
      <c r="B84" s="11" t="str">
        <f>CONCATENATE("          ", "6274", " - ", "UTILITIES")</f>
        <v xml:space="preserve">          6274 - UTILITIES</v>
      </c>
      <c r="C84" s="11"/>
      <c r="D84" s="6">
        <v>878</v>
      </c>
      <c r="E84" s="2"/>
      <c r="F84" s="7">
        <f t="shared" si="70"/>
        <v>0</v>
      </c>
      <c r="G84" s="2"/>
      <c r="H84" s="6">
        <v>771</v>
      </c>
      <c r="I84" s="2"/>
      <c r="J84" s="7">
        <f t="shared" si="71"/>
        <v>3.9803820340733091E-2</v>
      </c>
      <c r="K84" s="2"/>
      <c r="L84" s="6">
        <f t="shared" si="72"/>
        <v>107</v>
      </c>
      <c r="M84" s="2"/>
      <c r="N84" s="7">
        <f t="shared" si="73"/>
        <v>0.13878080415045396</v>
      </c>
      <c r="O84" s="11"/>
      <c r="P84" s="6">
        <v>1756</v>
      </c>
      <c r="Q84" s="2"/>
      <c r="R84" s="7">
        <f t="shared" si="74"/>
        <v>0</v>
      </c>
      <c r="S84" s="2"/>
      <c r="T84" s="6">
        <v>3084</v>
      </c>
      <c r="U84" s="2"/>
      <c r="V84" s="7">
        <f t="shared" si="75"/>
        <v>4.0110811970814314E-2</v>
      </c>
      <c r="W84" s="2"/>
      <c r="X84" s="6">
        <f t="shared" si="76"/>
        <v>-1328</v>
      </c>
      <c r="Y84" s="2"/>
      <c r="Z84" s="7">
        <f t="shared" si="77"/>
        <v>-0.43060959792477305</v>
      </c>
    </row>
    <row r="85" spans="1:26" s="62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6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5" t="s">
        <v>3</v>
      </c>
      <c r="C88" s="25"/>
      <c r="D88" s="21">
        <f>+D21-D23+D86</f>
        <v>-10799.75</v>
      </c>
      <c r="E88" s="13"/>
      <c r="F88" s="20">
        <f>IF(D$12=0,0,D88/D$12)</f>
        <v>0</v>
      </c>
      <c r="G88" s="13"/>
      <c r="H88" s="21">
        <f>+H21-H23+H86</f>
        <v>-14353.9964</v>
      </c>
      <c r="I88" s="13"/>
      <c r="J88" s="20">
        <f>IF(H$12=0,0,H88/H$12)</f>
        <v>-0.7410426639132679</v>
      </c>
      <c r="K88" s="16"/>
      <c r="L88" s="21">
        <f>+D88-H88</f>
        <v>3554.2464</v>
      </c>
      <c r="M88" s="16"/>
      <c r="N88" s="20">
        <f>IF(H88=0,0,L88/H88)</f>
        <v>-0.24761371683219874</v>
      </c>
      <c r="O88" s="26"/>
      <c r="P88" s="21">
        <f>+P21-P23+P86</f>
        <v>-68085.47</v>
      </c>
      <c r="Q88" s="13"/>
      <c r="R88" s="20">
        <f>IF(P$12=0,0,P88/P$12)</f>
        <v>0</v>
      </c>
      <c r="S88" s="13"/>
      <c r="T88" s="21">
        <f>+T21-T23+T86</f>
        <v>-87410.124959999986</v>
      </c>
      <c r="U88" s="13"/>
      <c r="V88" s="20">
        <f>IF(T$12=0,0,T88/T$12)</f>
        <v>-1.1368648140778024</v>
      </c>
      <c r="W88" s="16"/>
      <c r="X88" s="21">
        <f>+P88-T88</f>
        <v>19324.654959999985</v>
      </c>
      <c r="Y88" s="16"/>
      <c r="Z88" s="20">
        <f>IF(T88=0,0,X88/T88)</f>
        <v>-0.22108028067507282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/>
      <c r="E90" s="4"/>
      <c r="F90" s="12">
        <f>IF(D$12=0,0,D90/D$12)</f>
        <v>0</v>
      </c>
      <c r="G90" s="4"/>
      <c r="H90" s="4">
        <v>4296</v>
      </c>
      <c r="I90" s="4"/>
      <c r="J90" s="12">
        <f>IF(H$12=0,0,H90/H$12)</f>
        <v>0.22178626742385132</v>
      </c>
      <c r="K90" s="4"/>
      <c r="L90" s="4">
        <f>+D90-H90</f>
        <v>-4296</v>
      </c>
      <c r="M90" s="4"/>
      <c r="N90" s="12">
        <f>IF(H90=0,0,L90/H90)</f>
        <v>-1</v>
      </c>
      <c r="O90" s="10"/>
      <c r="P90" s="4"/>
      <c r="Q90" s="4"/>
      <c r="R90" s="12">
        <f>IF(P$12=0,0,P90/P$12)</f>
        <v>0</v>
      </c>
      <c r="S90" s="4"/>
      <c r="T90" s="4">
        <v>13712</v>
      </c>
      <c r="U90" s="4"/>
      <c r="V90" s="12">
        <f>IF(T$12=0,0,T90/T$12)</f>
        <v>0.17833964129176583</v>
      </c>
      <c r="W90" s="4"/>
      <c r="X90" s="4">
        <f>+P90-T90</f>
        <v>-13712</v>
      </c>
      <c r="Y90" s="4"/>
      <c r="Z90" s="12">
        <f>IF(T90=0,0,X90/T90)</f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4</v>
      </c>
      <c r="C92" s="25"/>
      <c r="D92" s="31">
        <f>+D88-D90</f>
        <v>-10799.75</v>
      </c>
      <c r="E92" s="13"/>
      <c r="F92" s="34">
        <f>IF(D$12=0,0,D92/D$12)</f>
        <v>0</v>
      </c>
      <c r="G92" s="13"/>
      <c r="H92" s="31">
        <f>+H88-H90</f>
        <v>-18649.9964</v>
      </c>
      <c r="I92" s="13"/>
      <c r="J92" s="34">
        <f>IF(H$12=0,0,H92/H$12)</f>
        <v>-0.96282893133711922</v>
      </c>
      <c r="K92" s="16"/>
      <c r="L92" s="31">
        <f>D92-H92</f>
        <v>7850.2464</v>
      </c>
      <c r="M92" s="16"/>
      <c r="N92" s="34">
        <f>IF(H92=0,0,L92/H92)</f>
        <v>-0.42092482119728453</v>
      </c>
      <c r="O92" s="26"/>
      <c r="P92" s="31">
        <f>+P88-P90</f>
        <v>-68085.47</v>
      </c>
      <c r="Q92" s="13"/>
      <c r="R92" s="34">
        <f>IF(P$12=0,0,P92/P$12)</f>
        <v>0</v>
      </c>
      <c r="S92" s="13"/>
      <c r="T92" s="31">
        <f>+T88-T90</f>
        <v>-101122.12495999999</v>
      </c>
      <c r="U92" s="13"/>
      <c r="V92" s="34">
        <f>IF(T$12=0,0,T92/T$12)</f>
        <v>-1.3152044553695681</v>
      </c>
      <c r="W92" s="16"/>
      <c r="X92" s="31">
        <f>P92-T92</f>
        <v>33036.654959999985</v>
      </c>
      <c r="Y92" s="16"/>
      <c r="Z92" s="34">
        <f>IF(T92=0,0,X92/T92)</f>
        <v>-0.32670056105988687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5</v>
      </c>
      <c r="C95" s="25"/>
      <c r="D95" s="33">
        <f>SUM(D92:D94)</f>
        <v>-10799.75</v>
      </c>
      <c r="E95" s="13"/>
      <c r="F95" s="30">
        <f>IF(D$12=0,0,D95/D$12)</f>
        <v>0</v>
      </c>
      <c r="G95" s="13"/>
      <c r="H95" s="33">
        <f>SUM(H92:H94)</f>
        <v>-18649.9964</v>
      </c>
      <c r="I95" s="13"/>
      <c r="J95" s="30">
        <f>IF(H$12=0,0,H95/H$12)</f>
        <v>-0.96282893133711922</v>
      </c>
      <c r="K95" s="16"/>
      <c r="L95" s="33">
        <f>+D95-H95</f>
        <v>7850.2464</v>
      </c>
      <c r="M95" s="16"/>
      <c r="N95" s="30">
        <f>IF(H95=0,0,L95/H95)</f>
        <v>-0.42092482119728453</v>
      </c>
      <c r="O95" s="26"/>
      <c r="P95" s="33">
        <f>SUM(P92:P94)</f>
        <v>-68085.47</v>
      </c>
      <c r="Q95" s="13"/>
      <c r="R95" s="30">
        <f>IF(P$12=0,0,P95/P$12)</f>
        <v>0</v>
      </c>
      <c r="S95" s="13"/>
      <c r="T95" s="33">
        <f>SUM(T92:T94)</f>
        <v>-101122.12495999999</v>
      </c>
      <c r="U95" s="13"/>
      <c r="V95" s="30">
        <f>IF(T$12=0,0,T95/T$12)</f>
        <v>-1.3152044553695681</v>
      </c>
      <c r="W95" s="16"/>
      <c r="X95" s="33">
        <f>+P95-T95</f>
        <v>33036.654959999985</v>
      </c>
      <c r="Y95" s="16"/>
      <c r="Z95" s="30">
        <f>IF(T95=0,0,X95/T95)</f>
        <v>-0.32670056105988687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>
        <v>44174.679775462966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7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3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309</v>
      </c>
      <c r="I12" s="4"/>
      <c r="J12" s="12"/>
      <c r="K12" s="4"/>
      <c r="L12" s="4">
        <f t="shared" ref="L12:L14" si="0">+D12-H12</f>
        <v>-309</v>
      </c>
      <c r="M12" s="4"/>
      <c r="N12" s="12">
        <f t="shared" ref="N12:N14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1544</v>
      </c>
      <c r="U12" s="4"/>
      <c r="V12" s="12"/>
      <c r="W12" s="4"/>
      <c r="X12" s="4">
        <f t="shared" ref="X12:X14" si="2">+P12-T12</f>
        <v>-1434</v>
      </c>
      <c r="Y12" s="4"/>
      <c r="Z12" s="12">
        <f t="shared" ref="Z12:Z14" si="3">IF(T12=0,0,X12/T12)</f>
        <v>-0.92875647668393779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309</v>
      </c>
      <c r="I13" s="2"/>
      <c r="J13" s="22"/>
      <c r="K13" s="2"/>
      <c r="L13" s="2">
        <f t="shared" si="0"/>
        <v>-309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1544</v>
      </c>
      <c r="U13" s="2"/>
      <c r="V13" s="22"/>
      <c r="W13" s="2"/>
      <c r="X13" s="2">
        <f t="shared" si="2"/>
        <v>-1544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--110</f>
        <v>110</v>
      </c>
      <c r="Q14" s="2"/>
      <c r="R14" s="22"/>
      <c r="S14" s="2"/>
      <c r="T14" s="2"/>
      <c r="U14" s="2"/>
      <c r="V14" s="22"/>
      <c r="W14" s="2"/>
      <c r="X14" s="2">
        <f t="shared" si="2"/>
        <v>110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155</v>
      </c>
      <c r="I16" s="4"/>
      <c r="J16" s="12">
        <f t="shared" ref="J16:J18" si="6">IF(H$12=0,0,H16/H$12)</f>
        <v>0.50161812297734631</v>
      </c>
      <c r="K16" s="4"/>
      <c r="L16" s="4">
        <f t="shared" ref="L16:L18" si="7">+D16-H16</f>
        <v>-155</v>
      </c>
      <c r="M16" s="4"/>
      <c r="N16" s="12">
        <f t="shared" ref="N16:N18" si="8">IF(H16=0,0,L16/H16)</f>
        <v>-1</v>
      </c>
      <c r="O16" s="10"/>
      <c r="P16" s="4">
        <f>SUM(OSRRefP16x_0)</f>
        <v>68.91</v>
      </c>
      <c r="Q16" s="4"/>
      <c r="R16" s="12">
        <f t="shared" ref="R16:R18" si="9">IF(P$12=0,0,P16/P$12)</f>
        <v>0.62645454545454538</v>
      </c>
      <c r="S16" s="4"/>
      <c r="T16" s="4">
        <f>SUM(OSRRefT16x_0)</f>
        <v>773</v>
      </c>
      <c r="U16" s="4"/>
      <c r="V16" s="12">
        <f t="shared" ref="V16:V18" si="10">IF(T$12=0,0,T16/T$12)</f>
        <v>0.50064766839378239</v>
      </c>
      <c r="W16" s="4"/>
      <c r="X16" s="4">
        <f t="shared" ref="X16:X18" si="11">+P16-T16</f>
        <v>-704.09</v>
      </c>
      <c r="Y16" s="4"/>
      <c r="Z16" s="12">
        <f t="shared" ref="Z16:Z18" si="12">IF(T16=0,0,X16/T16)</f>
        <v>-0.9108538163001294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155</v>
      </c>
      <c r="I17" s="2"/>
      <c r="J17" s="22">
        <f t="shared" si="6"/>
        <v>0.50161812297734631</v>
      </c>
      <c r="K17" s="2"/>
      <c r="L17" s="2">
        <f t="shared" si="7"/>
        <v>-155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773</v>
      </c>
      <c r="U17" s="2"/>
      <c r="V17" s="22">
        <f t="shared" si="10"/>
        <v>0.50064766839378239</v>
      </c>
      <c r="W17" s="2"/>
      <c r="X17" s="2">
        <f t="shared" si="11"/>
        <v>-773</v>
      </c>
      <c r="Y17" s="2"/>
      <c r="Z17" s="22">
        <f t="shared" si="12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22">
        <f t="shared" si="5"/>
        <v>0</v>
      </c>
      <c r="G18" s="2"/>
      <c r="H18" s="2"/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>
        <v>68.91</v>
      </c>
      <c r="Q18" s="2"/>
      <c r="R18" s="22">
        <f t="shared" si="9"/>
        <v>0.62645454545454538</v>
      </c>
      <c r="S18" s="2"/>
      <c r="T18" s="2"/>
      <c r="U18" s="2"/>
      <c r="V18" s="22">
        <f t="shared" si="10"/>
        <v>0</v>
      </c>
      <c r="W18" s="2"/>
      <c r="X18" s="2">
        <f t="shared" si="11"/>
        <v>68.91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0</v>
      </c>
      <c r="E20" s="13"/>
      <c r="F20" s="20">
        <f>IF(D$12=0,0,D20/D$12)</f>
        <v>0</v>
      </c>
      <c r="G20" s="13"/>
      <c r="H20" s="21">
        <f>H12-H16</f>
        <v>154</v>
      </c>
      <c r="I20" s="13"/>
      <c r="J20" s="20">
        <f>IF(H$12=0,0,H20/H$12)</f>
        <v>0.49838187702265374</v>
      </c>
      <c r="K20" s="16"/>
      <c r="L20" s="21">
        <f>+D20-H20</f>
        <v>-154</v>
      </c>
      <c r="M20" s="16"/>
      <c r="N20" s="20">
        <f>IF(H20=0,0,L20/H20)</f>
        <v>-1</v>
      </c>
      <c r="O20" s="26"/>
      <c r="P20" s="21">
        <f>P12-P16</f>
        <v>41.09</v>
      </c>
      <c r="Q20" s="13"/>
      <c r="R20" s="20">
        <f>IF(P$12=0,0,P20/P$12)</f>
        <v>0.37354545454545457</v>
      </c>
      <c r="S20" s="13"/>
      <c r="T20" s="21">
        <f>T12-T16</f>
        <v>771</v>
      </c>
      <c r="U20" s="13"/>
      <c r="V20" s="20">
        <f>IF(T$12=0,0,T20/T$12)</f>
        <v>0.49935233160621761</v>
      </c>
      <c r="W20" s="16"/>
      <c r="X20" s="21">
        <f>+P20-T20</f>
        <v>-729.91</v>
      </c>
      <c r="Y20" s="16"/>
      <c r="Z20" s="20">
        <f>IF(T20=0,0,X20/T20)</f>
        <v>-0.94670557717250325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0</v>
      </c>
      <c r="E22" s="19"/>
      <c r="F22" s="35">
        <f t="shared" ref="F22:F24" si="13">IF(D$12=0,0,D22/D$12)</f>
        <v>0</v>
      </c>
      <c r="G22" s="19"/>
      <c r="H22" s="19">
        <f>SUM(OSRRefH22x_0)</f>
        <v>27</v>
      </c>
      <c r="I22" s="19"/>
      <c r="J22" s="35">
        <f t="shared" ref="J22:J24" si="14">IF(H$12=0,0,H22/H$12)</f>
        <v>8.7378640776699032E-2</v>
      </c>
      <c r="K22" s="4"/>
      <c r="L22" s="19">
        <f t="shared" ref="L22:L24" si="15">+D22-H22</f>
        <v>-27</v>
      </c>
      <c r="M22" s="4"/>
      <c r="N22" s="35">
        <f t="shared" ref="N22:N24" si="16">IF(H22=0,0,L22/H22)</f>
        <v>-1</v>
      </c>
      <c r="O22" s="10"/>
      <c r="P22" s="19">
        <f>SUM(OSRRefP22x_0)</f>
        <v>0</v>
      </c>
      <c r="Q22" s="19"/>
      <c r="R22" s="35">
        <f t="shared" ref="R22:R24" si="17">IF(P$12=0,0,P22/P$12)</f>
        <v>0</v>
      </c>
      <c r="S22" s="19"/>
      <c r="T22" s="19">
        <f>SUM(OSRRefT22x_0)</f>
        <v>136</v>
      </c>
      <c r="U22" s="19"/>
      <c r="V22" s="35">
        <f t="shared" ref="V22:V24" si="18">IF(T$12=0,0,T22/T$12)</f>
        <v>8.8082901554404139E-2</v>
      </c>
      <c r="W22" s="4"/>
      <c r="X22" s="19">
        <f t="shared" ref="X22:X24" si="19">+P22-T22</f>
        <v>-136</v>
      </c>
      <c r="Y22" s="4"/>
      <c r="Z22" s="35">
        <f t="shared" ref="Z22:Z24" si="20">IF(T22=0,0,X22/T22)</f>
        <v>-1</v>
      </c>
    </row>
    <row r="23" spans="1:26" s="29" customFormat="1" outlineLevel="1" collapsed="1" x14ac:dyDescent="0.25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27</v>
      </c>
      <c r="I23" s="1"/>
      <c r="J23" s="5">
        <f t="shared" si="14"/>
        <v>8.7378640776699032E-2</v>
      </c>
      <c r="K23" s="1"/>
      <c r="L23" s="1">
        <f t="shared" si="15"/>
        <v>-27</v>
      </c>
      <c r="M23" s="1"/>
      <c r="N23" s="5">
        <f t="shared" si="16"/>
        <v>-1</v>
      </c>
      <c r="O23" s="14"/>
      <c r="P23" s="1">
        <f>SUM(OSRRefP22_0x_0)</f>
        <v>0</v>
      </c>
      <c r="Q23" s="1"/>
      <c r="R23" s="5">
        <f t="shared" si="17"/>
        <v>0</v>
      </c>
      <c r="S23" s="1"/>
      <c r="T23" s="1">
        <f>SUM(OSRRefT22_0x_0)</f>
        <v>136</v>
      </c>
      <c r="U23" s="1"/>
      <c r="V23" s="5">
        <f t="shared" si="18"/>
        <v>8.8082901554404139E-2</v>
      </c>
      <c r="W23" s="1"/>
      <c r="X23" s="1">
        <f t="shared" si="19"/>
        <v>-136</v>
      </c>
      <c r="Y23" s="1"/>
      <c r="Z23" s="5">
        <f t="shared" si="20"/>
        <v>-1</v>
      </c>
    </row>
    <row r="24" spans="1:26" s="24" customFormat="1" hidden="1" outlineLevel="2" x14ac:dyDescent="0.25">
      <c r="A24" s="28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3"/>
        <v>0</v>
      </c>
      <c r="G24" s="2"/>
      <c r="H24" s="6">
        <v>27</v>
      </c>
      <c r="I24" s="2"/>
      <c r="J24" s="7">
        <f t="shared" si="14"/>
        <v>8.7378640776699032E-2</v>
      </c>
      <c r="K24" s="2"/>
      <c r="L24" s="6">
        <f t="shared" si="15"/>
        <v>-27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136</v>
      </c>
      <c r="U24" s="2"/>
      <c r="V24" s="7">
        <f t="shared" si="18"/>
        <v>8.8082901554404139E-2</v>
      </c>
      <c r="W24" s="2"/>
      <c r="X24" s="6">
        <f t="shared" si="19"/>
        <v>-136</v>
      </c>
      <c r="Y24" s="2"/>
      <c r="Z24" s="7">
        <f t="shared" si="20"/>
        <v>-1</v>
      </c>
    </row>
    <row r="25" spans="1:26" s="62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3</v>
      </c>
      <c r="C28" s="25"/>
      <c r="D28" s="21">
        <f>+D20-D22+D26</f>
        <v>0</v>
      </c>
      <c r="E28" s="13"/>
      <c r="F28" s="20">
        <f>IF(D$12=0,0,D28/D$12)</f>
        <v>0</v>
      </c>
      <c r="G28" s="13"/>
      <c r="H28" s="21">
        <f>+H20-H22+H26</f>
        <v>127</v>
      </c>
      <c r="I28" s="13"/>
      <c r="J28" s="20">
        <f>IF(H$12=0,0,H28/H$12)</f>
        <v>0.4110032362459547</v>
      </c>
      <c r="K28" s="16"/>
      <c r="L28" s="21">
        <f>+D28-H28</f>
        <v>-127</v>
      </c>
      <c r="M28" s="16"/>
      <c r="N28" s="20">
        <f>IF(H28=0,0,L28/H28)</f>
        <v>-1</v>
      </c>
      <c r="O28" s="26"/>
      <c r="P28" s="21">
        <f>+P20-P22+P26</f>
        <v>41.09</v>
      </c>
      <c r="Q28" s="13"/>
      <c r="R28" s="20">
        <f>IF(P$12=0,0,P28/P$12)</f>
        <v>0.37354545454545457</v>
      </c>
      <c r="S28" s="13"/>
      <c r="T28" s="21">
        <f>+T20-T22+T26</f>
        <v>635</v>
      </c>
      <c r="U28" s="13"/>
      <c r="V28" s="20">
        <f>IF(T$12=0,0,T28/T$12)</f>
        <v>0.41126943005181349</v>
      </c>
      <c r="W28" s="16"/>
      <c r="X28" s="21">
        <f>+P28-T28</f>
        <v>-593.91</v>
      </c>
      <c r="Y28" s="16"/>
      <c r="Z28" s="20">
        <f>IF(T28=0,0,X28/T28)</f>
        <v>-0.9352913385826771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/>
      <c r="E30" s="4"/>
      <c r="F30" s="12">
        <f>IF(D$12=0,0,D30/D$12)</f>
        <v>0</v>
      </c>
      <c r="G30" s="4"/>
      <c r="H30" s="4">
        <v>73</v>
      </c>
      <c r="I30" s="4"/>
      <c r="J30" s="12">
        <f>IF(H$12=0,0,H30/H$12)</f>
        <v>0.23624595469255663</v>
      </c>
      <c r="K30" s="4"/>
      <c r="L30" s="4">
        <f>+D30-H30</f>
        <v>-73</v>
      </c>
      <c r="M30" s="4"/>
      <c r="N30" s="12">
        <f>IF(H30=0,0,L30/H30)</f>
        <v>-1</v>
      </c>
      <c r="O30" s="10"/>
      <c r="P30" s="4">
        <v>23.83</v>
      </c>
      <c r="Q30" s="4"/>
      <c r="R30" s="12">
        <f>IF(P$12=0,0,P30/P$12)</f>
        <v>0.21663636363636363</v>
      </c>
      <c r="S30" s="4"/>
      <c r="T30" s="4">
        <v>275</v>
      </c>
      <c r="U30" s="4"/>
      <c r="V30" s="12">
        <f>IF(T$12=0,0,T30/T$12)</f>
        <v>0.17810880829015543</v>
      </c>
      <c r="W30" s="4"/>
      <c r="X30" s="4">
        <f>+P30-T30</f>
        <v>-251.17000000000002</v>
      </c>
      <c r="Y30" s="4"/>
      <c r="Z30" s="12">
        <f>IF(T30=0,0,X30/T30)</f>
        <v>-0.91334545454545457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4</v>
      </c>
      <c r="C32" s="25"/>
      <c r="D32" s="31">
        <f>+D28-D30</f>
        <v>0</v>
      </c>
      <c r="E32" s="13"/>
      <c r="F32" s="34">
        <f>IF(D$12=0,0,D32/D$12)</f>
        <v>0</v>
      </c>
      <c r="G32" s="13"/>
      <c r="H32" s="31">
        <f>+H28-H30</f>
        <v>54</v>
      </c>
      <c r="I32" s="13"/>
      <c r="J32" s="34">
        <f>IF(H$12=0,0,H32/H$12)</f>
        <v>0.17475728155339806</v>
      </c>
      <c r="K32" s="16"/>
      <c r="L32" s="31">
        <f>D32-H32</f>
        <v>-54</v>
      </c>
      <c r="M32" s="16"/>
      <c r="N32" s="34">
        <f>IF(H32=0,0,L32/H32)</f>
        <v>-1</v>
      </c>
      <c r="O32" s="26"/>
      <c r="P32" s="31">
        <f>+P28-P30</f>
        <v>17.260000000000005</v>
      </c>
      <c r="Q32" s="13"/>
      <c r="R32" s="34">
        <f>IF(P$12=0,0,P32/P$12)</f>
        <v>0.15690909090909094</v>
      </c>
      <c r="S32" s="13"/>
      <c r="T32" s="31">
        <f>+T28-T30</f>
        <v>360</v>
      </c>
      <c r="U32" s="13"/>
      <c r="V32" s="34">
        <f>IF(T$12=0,0,T32/T$12)</f>
        <v>0.23316062176165803</v>
      </c>
      <c r="W32" s="16"/>
      <c r="X32" s="31">
        <f>P32-T32</f>
        <v>-342.74</v>
      </c>
      <c r="Y32" s="16"/>
      <c r="Z32" s="34">
        <f>IF(T32=0,0,X32/T32)</f>
        <v>-0.95205555555555554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5</v>
      </c>
      <c r="C35" s="25"/>
      <c r="D35" s="33">
        <f>SUM(D32:D34)</f>
        <v>0</v>
      </c>
      <c r="E35" s="13"/>
      <c r="F35" s="30">
        <f>IF(D$12=0,0,D35/D$12)</f>
        <v>0</v>
      </c>
      <c r="G35" s="13"/>
      <c r="H35" s="33">
        <f>SUM(H32:H34)</f>
        <v>54</v>
      </c>
      <c r="I35" s="13"/>
      <c r="J35" s="30">
        <f>IF(H$12=0,0,H35/H$12)</f>
        <v>0.17475728155339806</v>
      </c>
      <c r="K35" s="16"/>
      <c r="L35" s="33">
        <f>+D35-H35</f>
        <v>-54</v>
      </c>
      <c r="M35" s="16"/>
      <c r="N35" s="30">
        <f>IF(H35=0,0,L35/H35)</f>
        <v>-1</v>
      </c>
      <c r="O35" s="26"/>
      <c r="P35" s="33">
        <f>SUM(P32:P34)</f>
        <v>17.260000000000005</v>
      </c>
      <c r="Q35" s="13"/>
      <c r="R35" s="30">
        <f>IF(P$12=0,0,P35/P$12)</f>
        <v>0.15690909090909094</v>
      </c>
      <c r="S35" s="13"/>
      <c r="T35" s="33">
        <f>SUM(T32:T34)</f>
        <v>360</v>
      </c>
      <c r="U35" s="13"/>
      <c r="V35" s="30">
        <f>IF(T$12=0,0,T35/T$12)</f>
        <v>0.23316062176165803</v>
      </c>
      <c r="W35" s="16"/>
      <c r="X35" s="33">
        <f>+P35-T35</f>
        <v>-342.74</v>
      </c>
      <c r="Y35" s="16"/>
      <c r="Z35" s="30">
        <f>IF(T35=0,0,X35/T35)</f>
        <v>-0.95205555555555554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5">
        <v>44174.679812881943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7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3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171910.73</v>
      </c>
      <c r="E12" s="4"/>
      <c r="F12" s="12"/>
      <c r="G12" s="4"/>
      <c r="H12" s="4">
        <f>SUM(OSRRefH13x_0)</f>
        <v>400749</v>
      </c>
      <c r="I12" s="4"/>
      <c r="J12" s="12"/>
      <c r="K12" s="4"/>
      <c r="L12" s="4">
        <f t="shared" ref="L12:L20" si="0">+D12-H12</f>
        <v>-228838.27</v>
      </c>
      <c r="M12" s="4"/>
      <c r="N12" s="12">
        <f t="shared" ref="N12:N20" si="1">IF(H12=0,0,L12/H12)</f>
        <v>-0.57102642801354464</v>
      </c>
      <c r="O12" s="10"/>
      <c r="P12" s="4">
        <f>SUM(OSRRefP13x_0)</f>
        <v>673464.93</v>
      </c>
      <c r="Q12" s="4"/>
      <c r="R12" s="12"/>
      <c r="S12" s="4"/>
      <c r="T12" s="4">
        <f>SUM(OSRRefT13x_0)</f>
        <v>1612714</v>
      </c>
      <c r="U12" s="4"/>
      <c r="V12" s="12"/>
      <c r="W12" s="4"/>
      <c r="X12" s="4">
        <f t="shared" ref="X12:X20" si="2">+P12-T12</f>
        <v>-939249.07</v>
      </c>
      <c r="Y12" s="4"/>
      <c r="Z12" s="12">
        <f t="shared" ref="Z12:Z20" si="3">IF(T12=0,0,X12/T12)</f>
        <v>-0.58240275089073446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4875</v>
      </c>
      <c r="I13" s="2"/>
      <c r="J13" s="22"/>
      <c r="K13" s="2"/>
      <c r="L13" s="2">
        <f t="shared" si="0"/>
        <v>-4875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24008</v>
      </c>
      <c r="U13" s="2"/>
      <c r="V13" s="22"/>
      <c r="W13" s="2"/>
      <c r="X13" s="2">
        <f t="shared" si="2"/>
        <v>-24008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--4501.27</f>
        <v>4501.2700000000004</v>
      </c>
      <c r="E14" s="2"/>
      <c r="F14" s="22"/>
      <c r="G14" s="2"/>
      <c r="H14" s="2"/>
      <c r="I14" s="2"/>
      <c r="J14" s="22"/>
      <c r="K14" s="2"/>
      <c r="L14" s="2">
        <f t="shared" si="0"/>
        <v>4501.2700000000004</v>
      </c>
      <c r="M14" s="2"/>
      <c r="N14" s="22">
        <f t="shared" si="1"/>
        <v>0</v>
      </c>
      <c r="O14" s="11"/>
      <c r="P14" s="2">
        <f>--17251.21</f>
        <v>17251.21</v>
      </c>
      <c r="Q14" s="2"/>
      <c r="R14" s="22"/>
      <c r="S14" s="2"/>
      <c r="T14" s="2"/>
      <c r="U14" s="2"/>
      <c r="V14" s="22"/>
      <c r="W14" s="2"/>
      <c r="X14" s="2">
        <f t="shared" si="2"/>
        <v>17251.21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--55493.87</f>
        <v>55493.87</v>
      </c>
      <c r="E15" s="2"/>
      <c r="F15" s="22"/>
      <c r="G15" s="2"/>
      <c r="H15" s="2"/>
      <c r="I15" s="2"/>
      <c r="J15" s="22"/>
      <c r="K15" s="2"/>
      <c r="L15" s="2">
        <f t="shared" si="0"/>
        <v>55493.87</v>
      </c>
      <c r="M15" s="2"/>
      <c r="N15" s="22">
        <f t="shared" si="1"/>
        <v>0</v>
      </c>
      <c r="O15" s="11"/>
      <c r="P15" s="2">
        <f>--85725.16</f>
        <v>85725.16</v>
      </c>
      <c r="Q15" s="2"/>
      <c r="R15" s="22"/>
      <c r="S15" s="2"/>
      <c r="T15" s="2"/>
      <c r="U15" s="2"/>
      <c r="V15" s="22"/>
      <c r="W15" s="2"/>
      <c r="X15" s="2">
        <f t="shared" si="2"/>
        <v>85725.16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--92.59</f>
        <v>92.59</v>
      </c>
      <c r="E16" s="2"/>
      <c r="F16" s="22"/>
      <c r="G16" s="2"/>
      <c r="H16" s="2"/>
      <c r="I16" s="2"/>
      <c r="J16" s="22"/>
      <c r="K16" s="2"/>
      <c r="L16" s="2">
        <f t="shared" si="0"/>
        <v>92.59</v>
      </c>
      <c r="M16" s="2"/>
      <c r="N16" s="22">
        <f t="shared" si="1"/>
        <v>0</v>
      </c>
      <c r="O16" s="11"/>
      <c r="P16" s="2">
        <f>--495.03</f>
        <v>495.03</v>
      </c>
      <c r="Q16" s="2"/>
      <c r="R16" s="22"/>
      <c r="S16" s="2"/>
      <c r="T16" s="2"/>
      <c r="U16" s="2"/>
      <c r="V16" s="22"/>
      <c r="W16" s="2"/>
      <c r="X16" s="2">
        <f t="shared" si="2"/>
        <v>495.03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22"/>
      <c r="G18" s="2"/>
      <c r="H18" s="2">
        <v>395874</v>
      </c>
      <c r="I18" s="2"/>
      <c r="J18" s="22"/>
      <c r="K18" s="2"/>
      <c r="L18" s="2">
        <f t="shared" si="0"/>
        <v>-395874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1588706</v>
      </c>
      <c r="U18" s="2"/>
      <c r="V18" s="22"/>
      <c r="W18" s="2"/>
      <c r="X18" s="2">
        <f t="shared" si="2"/>
        <v>-1588706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--101465.72</f>
        <v>101465.72</v>
      </c>
      <c r="E19" s="2"/>
      <c r="F19" s="22"/>
      <c r="G19" s="2"/>
      <c r="H19" s="2"/>
      <c r="I19" s="2"/>
      <c r="J19" s="22"/>
      <c r="K19" s="2"/>
      <c r="L19" s="2">
        <f t="shared" si="0"/>
        <v>101465.72</v>
      </c>
      <c r="M19" s="2"/>
      <c r="N19" s="22">
        <f t="shared" si="1"/>
        <v>0</v>
      </c>
      <c r="O19" s="11"/>
      <c r="P19" s="2">
        <f>--542894.76</f>
        <v>542894.76</v>
      </c>
      <c r="Q19" s="2"/>
      <c r="R19" s="22"/>
      <c r="S19" s="2"/>
      <c r="T19" s="2"/>
      <c r="U19" s="2"/>
      <c r="V19" s="22"/>
      <c r="W19" s="2"/>
      <c r="X19" s="2">
        <f t="shared" si="2"/>
        <v>542894.76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--10357.28</f>
        <v>10357.280000000001</v>
      </c>
      <c r="E20" s="2"/>
      <c r="F20" s="22"/>
      <c r="G20" s="2"/>
      <c r="H20" s="2"/>
      <c r="I20" s="2"/>
      <c r="J20" s="22"/>
      <c r="K20" s="2"/>
      <c r="L20" s="2">
        <f t="shared" si="0"/>
        <v>10357.280000000001</v>
      </c>
      <c r="M20" s="2"/>
      <c r="N20" s="22">
        <f t="shared" si="1"/>
        <v>0</v>
      </c>
      <c r="O20" s="11"/>
      <c r="P20" s="2">
        <f>--26123.86</f>
        <v>26123.86</v>
      </c>
      <c r="Q20" s="2"/>
      <c r="R20" s="22"/>
      <c r="S20" s="2"/>
      <c r="T20" s="2"/>
      <c r="U20" s="2"/>
      <c r="V20" s="22"/>
      <c r="W20" s="2"/>
      <c r="X20" s="2">
        <f t="shared" si="2"/>
        <v>26123.86</v>
      </c>
      <c r="Y20" s="2"/>
      <c r="Z20" s="22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44102.18</v>
      </c>
      <c r="E22" s="4"/>
      <c r="F22" s="12">
        <f t="shared" ref="F22:F25" si="5">IF(D$12=0,0,D22/D$12)</f>
        <v>0.25654117110665514</v>
      </c>
      <c r="G22" s="4"/>
      <c r="H22" s="4">
        <f>SUM(OSRRefH16x_0)</f>
        <v>103637</v>
      </c>
      <c r="I22" s="4"/>
      <c r="J22" s="12">
        <f t="shared" ref="J22:J25" si="6">IF(H$12=0,0,H22/H$12)</f>
        <v>0.25860825604056403</v>
      </c>
      <c r="K22" s="4"/>
      <c r="L22" s="4">
        <f t="shared" ref="L22:L25" si="7">+D22-H22</f>
        <v>-59534.82</v>
      </c>
      <c r="M22" s="4"/>
      <c r="N22" s="12">
        <f t="shared" ref="N22:N25" si="8">IF(H22=0,0,L22/H22)</f>
        <v>-0.57445526211681153</v>
      </c>
      <c r="O22" s="10"/>
      <c r="P22" s="4">
        <f>SUM(OSRRefP16x_0)</f>
        <v>230909.41999999998</v>
      </c>
      <c r="Q22" s="4"/>
      <c r="R22" s="12">
        <f t="shared" ref="R22:R25" si="9">IF(P$12=0,0,P22/P$12)</f>
        <v>0.34286777189719436</v>
      </c>
      <c r="S22" s="4"/>
      <c r="T22" s="4">
        <f>SUM(OSRRefT16x_0)</f>
        <v>442957</v>
      </c>
      <c r="U22" s="4"/>
      <c r="V22" s="12">
        <f t="shared" ref="V22:V25" si="10">IF(T$12=0,0,T22/T$12)</f>
        <v>0.2746655637639408</v>
      </c>
      <c r="W22" s="4"/>
      <c r="X22" s="4">
        <f t="shared" ref="X22:X25" si="11">+P22-T22</f>
        <v>-212047.58000000002</v>
      </c>
      <c r="Y22" s="4"/>
      <c r="Z22" s="12">
        <f t="shared" ref="Z22:Z25" si="12">IF(T22=0,0,X22/T22)</f>
        <v>-0.47870917493120102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5"/>
        <v>0</v>
      </c>
      <c r="G23" s="2"/>
      <c r="H23" s="2">
        <v>103637</v>
      </c>
      <c r="I23" s="2"/>
      <c r="J23" s="22">
        <f t="shared" si="6"/>
        <v>0.25860825604056403</v>
      </c>
      <c r="K23" s="2"/>
      <c r="L23" s="2">
        <f t="shared" si="7"/>
        <v>-103637</v>
      </c>
      <c r="M23" s="2"/>
      <c r="N23" s="22">
        <f t="shared" si="8"/>
        <v>-1</v>
      </c>
      <c r="O23" s="11"/>
      <c r="P23" s="2"/>
      <c r="Q23" s="2"/>
      <c r="R23" s="22">
        <f t="shared" si="9"/>
        <v>0</v>
      </c>
      <c r="S23" s="2"/>
      <c r="T23" s="2">
        <v>442957</v>
      </c>
      <c r="U23" s="2"/>
      <c r="V23" s="22">
        <f t="shared" si="10"/>
        <v>0.2746655637639408</v>
      </c>
      <c r="W23" s="2"/>
      <c r="X23" s="2">
        <f t="shared" si="11"/>
        <v>-442957</v>
      </c>
      <c r="Y23" s="2"/>
      <c r="Z23" s="22">
        <f t="shared" si="12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39551.18</v>
      </c>
      <c r="E24" s="2"/>
      <c r="F24" s="22">
        <f t="shared" si="5"/>
        <v>0.23006812896437587</v>
      </c>
      <c r="G24" s="2"/>
      <c r="H24" s="2"/>
      <c r="I24" s="2"/>
      <c r="J24" s="22">
        <f t="shared" si="6"/>
        <v>0</v>
      </c>
      <c r="K24" s="2"/>
      <c r="L24" s="2">
        <f t="shared" si="7"/>
        <v>39551.18</v>
      </c>
      <c r="M24" s="2"/>
      <c r="N24" s="22">
        <f t="shared" si="8"/>
        <v>0</v>
      </c>
      <c r="O24" s="11"/>
      <c r="P24" s="2">
        <v>235088.03999999998</v>
      </c>
      <c r="Q24" s="2"/>
      <c r="R24" s="22">
        <f t="shared" si="9"/>
        <v>0.34907243054215153</v>
      </c>
      <c r="S24" s="2"/>
      <c r="T24" s="2"/>
      <c r="U24" s="2"/>
      <c r="V24" s="22">
        <f t="shared" si="10"/>
        <v>0</v>
      </c>
      <c r="W24" s="2"/>
      <c r="X24" s="2">
        <f t="shared" si="11"/>
        <v>235088.03999999998</v>
      </c>
      <c r="Y24" s="2"/>
      <c r="Z24" s="22">
        <f t="shared" si="12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4551</v>
      </c>
      <c r="E25" s="2"/>
      <c r="F25" s="22">
        <f t="shared" si="5"/>
        <v>2.6473042142279309E-2</v>
      </c>
      <c r="G25" s="2"/>
      <c r="H25" s="2"/>
      <c r="I25" s="2"/>
      <c r="J25" s="22">
        <f t="shared" si="6"/>
        <v>0</v>
      </c>
      <c r="K25" s="2"/>
      <c r="L25" s="2">
        <f t="shared" si="7"/>
        <v>4551</v>
      </c>
      <c r="M25" s="2"/>
      <c r="N25" s="22">
        <f t="shared" si="8"/>
        <v>0</v>
      </c>
      <c r="O25" s="11"/>
      <c r="P25" s="2">
        <v>-4178.62</v>
      </c>
      <c r="Q25" s="2"/>
      <c r="R25" s="22">
        <f t="shared" si="9"/>
        <v>-6.2046586449572057E-3</v>
      </c>
      <c r="S25" s="2"/>
      <c r="T25" s="2"/>
      <c r="U25" s="2"/>
      <c r="V25" s="22">
        <f t="shared" si="10"/>
        <v>0</v>
      </c>
      <c r="W25" s="2"/>
      <c r="X25" s="2">
        <f t="shared" si="11"/>
        <v>-4178.62</v>
      </c>
      <c r="Y25" s="2"/>
      <c r="Z25" s="22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21">
        <f>D12-D22</f>
        <v>127808.55000000002</v>
      </c>
      <c r="E27" s="13"/>
      <c r="F27" s="20">
        <f>IF(D$12=0,0,D27/D$12)</f>
        <v>0.74345882889334491</v>
      </c>
      <c r="G27" s="13"/>
      <c r="H27" s="21">
        <f>H12-H22</f>
        <v>297112</v>
      </c>
      <c r="I27" s="13"/>
      <c r="J27" s="20">
        <f>IF(H$12=0,0,H27/H$12)</f>
        <v>0.74139174395943597</v>
      </c>
      <c r="K27" s="16"/>
      <c r="L27" s="21">
        <f>+D27-H27</f>
        <v>-169303.44999999998</v>
      </c>
      <c r="M27" s="16"/>
      <c r="N27" s="20">
        <f>IF(H27=0,0,L27/H27)</f>
        <v>-0.5698304006569912</v>
      </c>
      <c r="O27" s="26"/>
      <c r="P27" s="21">
        <f>P12-P22</f>
        <v>442555.51000000007</v>
      </c>
      <c r="Q27" s="13"/>
      <c r="R27" s="20">
        <f>IF(P$12=0,0,P27/P$12)</f>
        <v>0.65713222810280569</v>
      </c>
      <c r="S27" s="13"/>
      <c r="T27" s="21">
        <f>T12-T22</f>
        <v>1169757</v>
      </c>
      <c r="U27" s="13"/>
      <c r="V27" s="20">
        <f>IF(T$12=0,0,T27/T$12)</f>
        <v>0.7253344362360592</v>
      </c>
      <c r="W27" s="16"/>
      <c r="X27" s="21">
        <f>+P27-T27</f>
        <v>-727201.49</v>
      </c>
      <c r="Y27" s="16"/>
      <c r="Z27" s="20">
        <f>IF(T27=0,0,X27/T27)</f>
        <v>-0.62166885088099488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19">
        <f>SUM(OSRRefD22x_0)</f>
        <v>353034.65</v>
      </c>
      <c r="E29" s="19"/>
      <c r="F29" s="35">
        <f t="shared" ref="F29:F40" si="13">IF(D$12=0,0,D29/D$12)</f>
        <v>2.0535928734640359</v>
      </c>
      <c r="G29" s="19"/>
      <c r="H29" s="19">
        <f>SUM(OSRRefH22x_0)</f>
        <v>468705.01904999412</v>
      </c>
      <c r="I29" s="19"/>
      <c r="J29" s="35">
        <f t="shared" ref="J29:J40" si="14">IF(H$12=0,0,H29/H$12)</f>
        <v>1.1695725230755263</v>
      </c>
      <c r="K29" s="4"/>
      <c r="L29" s="19">
        <f t="shared" ref="L29:L40" si="15">+D29-H29</f>
        <v>-115670.3690499941</v>
      </c>
      <c r="M29" s="4"/>
      <c r="N29" s="35">
        <f t="shared" ref="N29:N40" si="16">IF(H29=0,0,L29/H29)</f>
        <v>-0.24678713550890352</v>
      </c>
      <c r="O29" s="10"/>
      <c r="P29" s="19">
        <f>SUM(OSRRefP22x_0)</f>
        <v>1714226.12</v>
      </c>
      <c r="Q29" s="19"/>
      <c r="R29" s="35">
        <f t="shared" ref="R29:R40" si="17">IF(P$12=0,0,P29/P$12)</f>
        <v>2.5453829050905443</v>
      </c>
      <c r="S29" s="19"/>
      <c r="T29" s="19">
        <f>SUM(OSRRefT22x_0)</f>
        <v>2307693.8876822526</v>
      </c>
      <c r="U29" s="19"/>
      <c r="V29" s="35">
        <f t="shared" ref="V29:V40" si="18">IF(T$12=0,0,T29/T$12)</f>
        <v>1.4309380880194831</v>
      </c>
      <c r="W29" s="4"/>
      <c r="X29" s="19">
        <f t="shared" ref="X29:X40" si="19">+P29-T29</f>
        <v>-593467.76768225245</v>
      </c>
      <c r="Y29" s="4"/>
      <c r="Z29" s="35">
        <f t="shared" ref="Z29:Z40" si="20">IF(T29=0,0,X29/T29)</f>
        <v>-0.25716918992159121</v>
      </c>
    </row>
    <row r="30" spans="1:26" s="29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102249.69</v>
      </c>
      <c r="E30" s="1"/>
      <c r="F30" s="5">
        <f t="shared" si="13"/>
        <v>0.59478364148648544</v>
      </c>
      <c r="G30" s="1"/>
      <c r="H30" s="1">
        <f>SUM(OSRRefH22_0x_0)</f>
        <v>111008.55348089157</v>
      </c>
      <c r="I30" s="1"/>
      <c r="J30" s="5">
        <f t="shared" si="14"/>
        <v>0.27700269615368117</v>
      </c>
      <c r="K30" s="1"/>
      <c r="L30" s="1">
        <f t="shared" si="15"/>
        <v>-8758.8634808915667</v>
      </c>
      <c r="M30" s="1"/>
      <c r="N30" s="5">
        <f t="shared" si="16"/>
        <v>-7.8902599901000167E-2</v>
      </c>
      <c r="O30" s="14"/>
      <c r="P30" s="1">
        <f>SUM(OSRRefP22_0x_0)</f>
        <v>501117.24999999994</v>
      </c>
      <c r="Q30" s="1"/>
      <c r="R30" s="5">
        <f t="shared" si="17"/>
        <v>0.74408811458081403</v>
      </c>
      <c r="S30" s="1"/>
      <c r="T30" s="1">
        <f>SUM(OSRRefT22_0x_0)</f>
        <v>592020.37534635549</v>
      </c>
      <c r="U30" s="1"/>
      <c r="V30" s="5">
        <f t="shared" si="18"/>
        <v>0.36709570038230926</v>
      </c>
      <c r="W30" s="1"/>
      <c r="X30" s="1">
        <f t="shared" si="19"/>
        <v>-90903.125346355548</v>
      </c>
      <c r="Y30" s="1"/>
      <c r="Z30" s="5">
        <f t="shared" si="20"/>
        <v>-0.15354729183632168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6">
        <v>9464.19</v>
      </c>
      <c r="E31" s="2"/>
      <c r="F31" s="7">
        <f t="shared" si="13"/>
        <v>5.5052933577793541E-2</v>
      </c>
      <c r="G31" s="2"/>
      <c r="H31" s="6">
        <v>11489.977710526151</v>
      </c>
      <c r="I31" s="2"/>
      <c r="J31" s="7">
        <f t="shared" si="14"/>
        <v>2.8671257346933245E-2</v>
      </c>
      <c r="K31" s="2"/>
      <c r="L31" s="6">
        <f t="shared" si="15"/>
        <v>-2025.7877105261505</v>
      </c>
      <c r="M31" s="2"/>
      <c r="N31" s="7">
        <f t="shared" si="16"/>
        <v>-0.17630910708123429</v>
      </c>
      <c r="O31" s="11"/>
      <c r="P31" s="6">
        <v>55994.74</v>
      </c>
      <c r="Q31" s="2"/>
      <c r="R31" s="7">
        <f t="shared" si="17"/>
        <v>8.3144255187868499E-2</v>
      </c>
      <c r="S31" s="2"/>
      <c r="T31" s="6">
        <v>63146.586977893836</v>
      </c>
      <c r="U31" s="2"/>
      <c r="V31" s="7">
        <f t="shared" si="18"/>
        <v>3.9155477646931718E-2</v>
      </c>
      <c r="W31" s="2"/>
      <c r="X31" s="6">
        <f t="shared" si="19"/>
        <v>-7151.8469778938379</v>
      </c>
      <c r="Y31" s="2"/>
      <c r="Z31" s="7">
        <f t="shared" si="20"/>
        <v>-0.11325785478156618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6">
        <v>9429.67</v>
      </c>
      <c r="E32" s="2"/>
      <c r="F32" s="7">
        <f t="shared" si="13"/>
        <v>5.48521316848576E-2</v>
      </c>
      <c r="G32" s="2"/>
      <c r="H32" s="6">
        <v>7862.460557388461</v>
      </c>
      <c r="I32" s="2"/>
      <c r="J32" s="7">
        <f t="shared" si="14"/>
        <v>1.9619414040679978E-2</v>
      </c>
      <c r="K32" s="2"/>
      <c r="L32" s="6">
        <f t="shared" si="15"/>
        <v>1567.2094426115391</v>
      </c>
      <c r="M32" s="2"/>
      <c r="N32" s="7">
        <f t="shared" si="16"/>
        <v>0.19932811505665501</v>
      </c>
      <c r="O32" s="11"/>
      <c r="P32" s="6">
        <v>29634.400000000001</v>
      </c>
      <c r="Q32" s="2"/>
      <c r="R32" s="7">
        <f t="shared" si="17"/>
        <v>4.4002885198491326E-2</v>
      </c>
      <c r="S32" s="2"/>
      <c r="T32" s="6">
        <v>39866.231820461537</v>
      </c>
      <c r="U32" s="2"/>
      <c r="V32" s="7">
        <f t="shared" si="18"/>
        <v>2.4719963874847949E-2</v>
      </c>
      <c r="W32" s="2"/>
      <c r="X32" s="6">
        <f t="shared" si="19"/>
        <v>-10231.831820461535</v>
      </c>
      <c r="Y32" s="2"/>
      <c r="Z32" s="7">
        <f t="shared" si="20"/>
        <v>-0.25665409930240757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6">
        <v>54369.270000000004</v>
      </c>
      <c r="E33" s="2"/>
      <c r="F33" s="7">
        <f t="shared" si="13"/>
        <v>0.3162645519567045</v>
      </c>
      <c r="G33" s="2"/>
      <c r="H33" s="6">
        <v>66626.923076923107</v>
      </c>
      <c r="I33" s="2"/>
      <c r="J33" s="7">
        <f t="shared" si="14"/>
        <v>0.16625599334476968</v>
      </c>
      <c r="K33" s="2"/>
      <c r="L33" s="6">
        <f t="shared" si="15"/>
        <v>-12257.653076923103</v>
      </c>
      <c r="M33" s="2"/>
      <c r="N33" s="7">
        <f t="shared" si="16"/>
        <v>-0.18397447324366481</v>
      </c>
      <c r="O33" s="11"/>
      <c r="P33" s="6">
        <v>274154.49</v>
      </c>
      <c r="Q33" s="2"/>
      <c r="R33" s="7">
        <f t="shared" si="17"/>
        <v>0.407080573594233</v>
      </c>
      <c r="S33" s="2"/>
      <c r="T33" s="6">
        <v>355796.15384615381</v>
      </c>
      <c r="U33" s="2"/>
      <c r="V33" s="7">
        <f t="shared" si="18"/>
        <v>0.2206194984641752</v>
      </c>
      <c r="W33" s="2"/>
      <c r="X33" s="6">
        <f t="shared" si="19"/>
        <v>-81641.663846153824</v>
      </c>
      <c r="Y33" s="2"/>
      <c r="Z33" s="7">
        <f t="shared" si="20"/>
        <v>-0.2294619066665225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6">
        <v>671.25</v>
      </c>
      <c r="E34" s="2"/>
      <c r="F34" s="7">
        <f t="shared" si="13"/>
        <v>3.9046428341034905E-3</v>
      </c>
      <c r="G34" s="2"/>
      <c r="H34" s="6">
        <v>503.07891489999997</v>
      </c>
      <c r="I34" s="2"/>
      <c r="J34" s="7">
        <f t="shared" si="14"/>
        <v>1.255346650646664E-3</v>
      </c>
      <c r="K34" s="2"/>
      <c r="L34" s="6">
        <f t="shared" si="15"/>
        <v>168.17108510000003</v>
      </c>
      <c r="M34" s="2"/>
      <c r="N34" s="7">
        <f t="shared" si="16"/>
        <v>0.33428370802109331</v>
      </c>
      <c r="O34" s="11"/>
      <c r="P34" s="6">
        <v>2154.13</v>
      </c>
      <c r="Q34" s="2"/>
      <c r="R34" s="7">
        <f t="shared" si="17"/>
        <v>3.1985778383441582E-3</v>
      </c>
      <c r="S34" s="2"/>
      <c r="T34" s="6">
        <v>2562.249108</v>
      </c>
      <c r="U34" s="2"/>
      <c r="V34" s="7">
        <f t="shared" si="18"/>
        <v>1.588780842728469E-3</v>
      </c>
      <c r="W34" s="2"/>
      <c r="X34" s="6">
        <f t="shared" si="19"/>
        <v>-408.11910799999987</v>
      </c>
      <c r="Y34" s="2"/>
      <c r="Z34" s="7">
        <f t="shared" si="20"/>
        <v>-0.1592815884785547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6">
        <v>8954.64</v>
      </c>
      <c r="E35" s="2"/>
      <c r="F35" s="7">
        <f t="shared" si="13"/>
        <v>5.2088895207413749E-2</v>
      </c>
      <c r="G35" s="2"/>
      <c r="H35" s="6">
        <v>5989.2751107692384</v>
      </c>
      <c r="I35" s="2"/>
      <c r="J35" s="7">
        <f t="shared" si="14"/>
        <v>1.4945202884521828E-2</v>
      </c>
      <c r="K35" s="2"/>
      <c r="L35" s="6">
        <f t="shared" si="15"/>
        <v>2965.364889230761</v>
      </c>
      <c r="M35" s="2"/>
      <c r="N35" s="7">
        <f t="shared" si="16"/>
        <v>0.49511248596658664</v>
      </c>
      <c r="O35" s="11"/>
      <c r="P35" s="6">
        <v>37662.61</v>
      </c>
      <c r="Q35" s="2"/>
      <c r="R35" s="7">
        <f t="shared" si="17"/>
        <v>5.5923639557593587E-2</v>
      </c>
      <c r="S35" s="2"/>
      <c r="T35" s="6">
        <v>32941.013109230815</v>
      </c>
      <c r="U35" s="2"/>
      <c r="V35" s="7">
        <f t="shared" si="18"/>
        <v>2.042582448545174E-2</v>
      </c>
      <c r="W35" s="2"/>
      <c r="X35" s="6">
        <f t="shared" si="19"/>
        <v>4721.5968907691858</v>
      </c>
      <c r="Y35" s="2"/>
      <c r="Z35" s="7">
        <f t="shared" si="20"/>
        <v>0.14333490215108435</v>
      </c>
    </row>
    <row r="36" spans="1:26" s="24" customFormat="1" hidden="1" outlineLevel="2" x14ac:dyDescent="0.25">
      <c r="A36" s="28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8"/>
      <c r="B37" s="11" t="str">
        <f>CONCATENATE("          ", "6117", " - ", "RETIREMENT STAFF HOURLY")</f>
        <v xml:space="preserve">          6117 - RETIREMENT STAFF HOURLY</v>
      </c>
      <c r="C37" s="11"/>
      <c r="D37" s="6">
        <v>1420.55</v>
      </c>
      <c r="E37" s="2"/>
      <c r="F37" s="7">
        <f t="shared" si="13"/>
        <v>8.2633003768874686E-3</v>
      </c>
      <c r="G37" s="2"/>
      <c r="H37" s="6"/>
      <c r="I37" s="2"/>
      <c r="J37" s="7">
        <f t="shared" si="14"/>
        <v>0</v>
      </c>
      <c r="K37" s="2"/>
      <c r="L37" s="6">
        <f t="shared" si="15"/>
        <v>1420.55</v>
      </c>
      <c r="M37" s="2"/>
      <c r="N37" s="7">
        <f t="shared" si="16"/>
        <v>0</v>
      </c>
      <c r="O37" s="11"/>
      <c r="P37" s="6">
        <v>7686.86</v>
      </c>
      <c r="Q37" s="2"/>
      <c r="R37" s="7">
        <f t="shared" si="17"/>
        <v>1.1413897973870738E-2</v>
      </c>
      <c r="S37" s="2"/>
      <c r="T37" s="6"/>
      <c r="U37" s="2"/>
      <c r="V37" s="7">
        <f t="shared" si="18"/>
        <v>0</v>
      </c>
      <c r="W37" s="2"/>
      <c r="X37" s="6">
        <f t="shared" si="19"/>
        <v>7686.86</v>
      </c>
      <c r="Y37" s="2"/>
      <c r="Z37" s="7">
        <f t="shared" si="20"/>
        <v>0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6">
        <v>8977.98</v>
      </c>
      <c r="E38" s="2"/>
      <c r="F38" s="7">
        <f t="shared" si="13"/>
        <v>5.2224663347075539E-2</v>
      </c>
      <c r="G38" s="2"/>
      <c r="H38" s="6">
        <v>8259.639953846161</v>
      </c>
      <c r="I38" s="2"/>
      <c r="J38" s="7">
        <f t="shared" si="14"/>
        <v>2.061050671079943E-2</v>
      </c>
      <c r="K38" s="2"/>
      <c r="L38" s="6">
        <f t="shared" si="15"/>
        <v>718.34004615383856</v>
      </c>
      <c r="M38" s="2"/>
      <c r="N38" s="7">
        <f t="shared" si="16"/>
        <v>8.696989822411548E-2</v>
      </c>
      <c r="O38" s="11"/>
      <c r="P38" s="6">
        <v>47308.18</v>
      </c>
      <c r="Q38" s="2"/>
      <c r="R38" s="7">
        <f t="shared" si="17"/>
        <v>7.0245944358231088E-2</v>
      </c>
      <c r="S38" s="2"/>
      <c r="T38" s="6">
        <v>45520.71974615386</v>
      </c>
      <c r="U38" s="2"/>
      <c r="V38" s="7">
        <f t="shared" si="18"/>
        <v>2.8226157735440915E-2</v>
      </c>
      <c r="W38" s="2"/>
      <c r="X38" s="6">
        <f t="shared" si="19"/>
        <v>1787.4602538461404</v>
      </c>
      <c r="Y38" s="2"/>
      <c r="Z38" s="7">
        <f t="shared" si="20"/>
        <v>3.9266959393742154E-2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6">
        <v>5575.88</v>
      </c>
      <c r="E39" s="2"/>
      <c r="F39" s="7">
        <f t="shared" si="13"/>
        <v>3.2434740984463271E-2</v>
      </c>
      <c r="G39" s="2"/>
      <c r="H39" s="6">
        <v>6252.1981565384594</v>
      </c>
      <c r="I39" s="2"/>
      <c r="J39" s="7">
        <f t="shared" si="14"/>
        <v>1.560128199081834E-2</v>
      </c>
      <c r="K39" s="2"/>
      <c r="L39" s="6">
        <f t="shared" si="15"/>
        <v>-676.31815653845933</v>
      </c>
      <c r="M39" s="2"/>
      <c r="N39" s="7">
        <f t="shared" si="16"/>
        <v>-0.10817286010539756</v>
      </c>
      <c r="O39" s="11"/>
      <c r="P39" s="6">
        <v>30447.91</v>
      </c>
      <c r="Q39" s="2"/>
      <c r="R39" s="7">
        <f t="shared" si="17"/>
        <v>4.5210832284911996E-2</v>
      </c>
      <c r="S39" s="2"/>
      <c r="T39" s="6">
        <v>32062.420738461518</v>
      </c>
      <c r="U39" s="2"/>
      <c r="V39" s="7">
        <f t="shared" si="18"/>
        <v>1.9881033300672975E-2</v>
      </c>
      <c r="W39" s="2"/>
      <c r="X39" s="6">
        <f t="shared" si="19"/>
        <v>-1614.5107384615185</v>
      </c>
      <c r="Y39" s="2"/>
      <c r="Z39" s="7">
        <f t="shared" si="20"/>
        <v>-5.0355235234149982E-2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6">
        <v>3386.26</v>
      </c>
      <c r="E40" s="2"/>
      <c r="F40" s="7">
        <f t="shared" si="13"/>
        <v>1.9697781517186274E-2</v>
      </c>
      <c r="G40" s="2"/>
      <c r="H40" s="6">
        <v>4025</v>
      </c>
      <c r="I40" s="2"/>
      <c r="J40" s="7">
        <f t="shared" si="14"/>
        <v>1.0043693184512001E-2</v>
      </c>
      <c r="K40" s="2"/>
      <c r="L40" s="6">
        <f t="shared" si="15"/>
        <v>-638.73999999999978</v>
      </c>
      <c r="M40" s="2"/>
      <c r="N40" s="7">
        <f t="shared" si="16"/>
        <v>-0.15869316770186331</v>
      </c>
      <c r="O40" s="11"/>
      <c r="P40" s="6">
        <v>16073.929999999998</v>
      </c>
      <c r="Q40" s="2"/>
      <c r="R40" s="7">
        <f t="shared" si="17"/>
        <v>2.3867508587269715E-2</v>
      </c>
      <c r="S40" s="2"/>
      <c r="T40" s="6">
        <v>20125</v>
      </c>
      <c r="U40" s="2"/>
      <c r="V40" s="7">
        <f t="shared" si="18"/>
        <v>1.2478964032060242E-2</v>
      </c>
      <c r="W40" s="2"/>
      <c r="X40" s="6">
        <f t="shared" si="19"/>
        <v>-4051.0700000000015</v>
      </c>
      <c r="Y40" s="2"/>
      <c r="Z40" s="7">
        <f t="shared" si="20"/>
        <v>-0.20129540372670815</v>
      </c>
    </row>
    <row r="41" spans="1:26" s="29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135166.41</v>
      </c>
      <c r="E41" s="1"/>
      <c r="F41" s="5">
        <f t="shared" ref="F41:F51" si="21">IF(D$12=0,0,D41/D$12)</f>
        <v>0.78625929864878119</v>
      </c>
      <c r="G41" s="1"/>
      <c r="H41" s="1">
        <f>SUM(OSRRefH22_1x_0)</f>
        <v>179650.13223576924</v>
      </c>
      <c r="I41" s="1"/>
      <c r="J41" s="5">
        <f t="shared" ref="J41:J51" si="22">IF(H$12=0,0,H41/H$12)</f>
        <v>0.44828591521318639</v>
      </c>
      <c r="K41" s="1"/>
      <c r="L41" s="1">
        <f t="shared" ref="L41:L51" si="23">+D41-H41</f>
        <v>-44483.722235769237</v>
      </c>
      <c r="M41" s="1"/>
      <c r="N41" s="5">
        <f t="shared" ref="N41:N51" si="24">IF(H41=0,0,L41/H41)</f>
        <v>-0.24761307816567421</v>
      </c>
      <c r="O41" s="14"/>
      <c r="P41" s="1">
        <f>SUM(OSRRefP22_1x_0)</f>
        <v>702423.61</v>
      </c>
      <c r="Q41" s="1"/>
      <c r="R41" s="5">
        <f t="shared" ref="R41:R51" si="25">IF(P$12=0,0,P41/P$12)</f>
        <v>1.0429995367390548</v>
      </c>
      <c r="S41" s="1"/>
      <c r="T41" s="1">
        <f>SUM(OSRRefT22_1x_0)</f>
        <v>910268.8456692308</v>
      </c>
      <c r="U41" s="1"/>
      <c r="V41" s="5">
        <f t="shared" ref="V41:V51" si="26">IF(T$12=0,0,T41/T$12)</f>
        <v>0.56443290358317144</v>
      </c>
      <c r="W41" s="1"/>
      <c r="X41" s="1">
        <f t="shared" ref="X41:X51" si="27">+P41-T41</f>
        <v>-207845.23566923081</v>
      </c>
      <c r="Y41" s="1"/>
      <c r="Z41" s="5">
        <f t="shared" ref="Z41:Z51" si="28">IF(T41=0,0,X41/T41)</f>
        <v>-0.22833390009785814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6">
        <v>18473.91</v>
      </c>
      <c r="E42" s="2"/>
      <c r="F42" s="7">
        <f t="shared" si="21"/>
        <v>0.10746222763407495</v>
      </c>
      <c r="G42" s="2"/>
      <c r="H42" s="6">
        <v>9962.3076923076896</v>
      </c>
      <c r="I42" s="2"/>
      <c r="J42" s="7">
        <f t="shared" si="22"/>
        <v>2.4859220340681297E-2</v>
      </c>
      <c r="K42" s="2"/>
      <c r="L42" s="6">
        <f t="shared" si="23"/>
        <v>8511.6023076923102</v>
      </c>
      <c r="M42" s="2"/>
      <c r="N42" s="7">
        <f t="shared" si="24"/>
        <v>0.85438058837155484</v>
      </c>
      <c r="O42" s="11"/>
      <c r="P42" s="6">
        <v>99070.05</v>
      </c>
      <c r="Q42" s="2"/>
      <c r="R42" s="7">
        <f t="shared" si="25"/>
        <v>0.14710498733764799</v>
      </c>
      <c r="S42" s="2"/>
      <c r="T42" s="6">
        <v>54792.692307692269</v>
      </c>
      <c r="U42" s="2"/>
      <c r="V42" s="7">
        <f t="shared" si="26"/>
        <v>3.3975455231176926E-2</v>
      </c>
      <c r="W42" s="2"/>
      <c r="X42" s="6">
        <f t="shared" si="27"/>
        <v>44277.357692307734</v>
      </c>
      <c r="Y42" s="2"/>
      <c r="Z42" s="7">
        <f t="shared" si="28"/>
        <v>0.80808874007623277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6">
        <v>36179.25</v>
      </c>
      <c r="E43" s="2"/>
      <c r="F43" s="7">
        <f t="shared" si="21"/>
        <v>0.21045370466404278</v>
      </c>
      <c r="G43" s="2"/>
      <c r="H43" s="6">
        <v>52827.443538461535</v>
      </c>
      <c r="I43" s="2"/>
      <c r="J43" s="7">
        <f t="shared" si="22"/>
        <v>0.13182177257700339</v>
      </c>
      <c r="K43" s="2"/>
      <c r="L43" s="6">
        <f t="shared" si="23"/>
        <v>-16648.193538461535</v>
      </c>
      <c r="M43" s="2"/>
      <c r="N43" s="7">
        <f t="shared" si="24"/>
        <v>-0.31514289587647104</v>
      </c>
      <c r="O43" s="11"/>
      <c r="P43" s="6">
        <v>225273.7</v>
      </c>
      <c r="Q43" s="2"/>
      <c r="R43" s="7">
        <f t="shared" si="25"/>
        <v>0.3344995262039851</v>
      </c>
      <c r="S43" s="2"/>
      <c r="T43" s="6">
        <v>290550.93946153845</v>
      </c>
      <c r="U43" s="2"/>
      <c r="V43" s="7">
        <f t="shared" si="26"/>
        <v>0.18016271915636525</v>
      </c>
      <c r="W43" s="2"/>
      <c r="X43" s="6">
        <f t="shared" si="27"/>
        <v>-65277.23946153844</v>
      </c>
      <c r="Y43" s="2"/>
      <c r="Z43" s="7">
        <f t="shared" si="28"/>
        <v>-0.22466710857143687</v>
      </c>
    </row>
    <row r="44" spans="1:26" s="24" customFormat="1" hidden="1" outlineLevel="2" x14ac:dyDescent="0.25">
      <c r="A44" s="28"/>
      <c r="B44" s="11" t="str">
        <f>CONCATENATE("          ", "6003", " - ", "STAFF HOURLY-9 MONTH")</f>
        <v xml:space="preserve">          6003 - STAFF HOURLY-9 MONTH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8"/>
      <c r="B45" s="11" t="str">
        <f>CONCATENATE("          ", "6004", " - ", "STAFF HOURLY")</f>
        <v xml:space="preserve">          6004 - STAFF HOURLY</v>
      </c>
      <c r="C45" s="11"/>
      <c r="D45" s="6">
        <v>50265.4</v>
      </c>
      <c r="E45" s="2"/>
      <c r="F45" s="7">
        <f t="shared" si="21"/>
        <v>0.2923924527573119</v>
      </c>
      <c r="G45" s="2"/>
      <c r="H45" s="6">
        <v>74470.049920000005</v>
      </c>
      <c r="I45" s="2"/>
      <c r="J45" s="7">
        <f t="shared" si="22"/>
        <v>0.18582716343646524</v>
      </c>
      <c r="K45" s="2"/>
      <c r="L45" s="6">
        <f t="shared" si="23"/>
        <v>-24204.649920000003</v>
      </c>
      <c r="M45" s="2"/>
      <c r="N45" s="7">
        <f t="shared" si="24"/>
        <v>-0.32502529467889474</v>
      </c>
      <c r="O45" s="11"/>
      <c r="P45" s="6">
        <v>256960.39</v>
      </c>
      <c r="Q45" s="2"/>
      <c r="R45" s="7">
        <f t="shared" si="25"/>
        <v>0.38154977127019812</v>
      </c>
      <c r="S45" s="2"/>
      <c r="T45" s="6">
        <v>391957.87456000003</v>
      </c>
      <c r="U45" s="2"/>
      <c r="V45" s="7">
        <f t="shared" si="26"/>
        <v>0.24304239596109417</v>
      </c>
      <c r="W45" s="2"/>
      <c r="X45" s="6">
        <f t="shared" si="27"/>
        <v>-134997.48456000001</v>
      </c>
      <c r="Y45" s="2"/>
      <c r="Z45" s="7">
        <f t="shared" si="28"/>
        <v>-0.34441835034324564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6">
        <v>13195.5</v>
      </c>
      <c r="E46" s="2"/>
      <c r="F46" s="7">
        <f t="shared" si="21"/>
        <v>7.6757861478454537E-2</v>
      </c>
      <c r="G46" s="2"/>
      <c r="H46" s="6">
        <v>10135.511085</v>
      </c>
      <c r="I46" s="2"/>
      <c r="J46" s="7">
        <f t="shared" si="22"/>
        <v>2.529141952943114E-2</v>
      </c>
      <c r="K46" s="2"/>
      <c r="L46" s="6">
        <f t="shared" si="23"/>
        <v>3059.9889149999999</v>
      </c>
      <c r="M46" s="2"/>
      <c r="N46" s="7">
        <f t="shared" si="24"/>
        <v>0.30190770740003586</v>
      </c>
      <c r="O46" s="11"/>
      <c r="P46" s="6">
        <v>53045.939999999995</v>
      </c>
      <c r="Q46" s="2"/>
      <c r="R46" s="7">
        <f t="shared" si="25"/>
        <v>7.8765704993725497E-2</v>
      </c>
      <c r="S46" s="2"/>
      <c r="T46" s="6">
        <v>43251.73934</v>
      </c>
      <c r="U46" s="2"/>
      <c r="V46" s="7">
        <f t="shared" si="26"/>
        <v>2.6819224822256148E-2</v>
      </c>
      <c r="W46" s="2"/>
      <c r="X46" s="6">
        <f t="shared" si="27"/>
        <v>9794.200659999995</v>
      </c>
      <c r="Y46" s="2"/>
      <c r="Z46" s="7">
        <f t="shared" si="28"/>
        <v>0.22644639983165113</v>
      </c>
    </row>
    <row r="47" spans="1:26" s="24" customFormat="1" hidden="1" outlineLevel="2" x14ac:dyDescent="0.25">
      <c r="A47" s="28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8"/>
      <c r="B48" s="11" t="str">
        <f>CONCATENATE("          ", "6007", " - ", "STUDENT HOURLY")</f>
        <v xml:space="preserve">          6007 - STUDENT HOURLY</v>
      </c>
      <c r="C48" s="11"/>
      <c r="D48" s="6">
        <v>15212.46</v>
      </c>
      <c r="E48" s="2"/>
      <c r="F48" s="7">
        <f t="shared" si="21"/>
        <v>8.8490462462697927E-2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15212.46</v>
      </c>
      <c r="M48" s="2"/>
      <c r="N48" s="7">
        <f t="shared" si="24"/>
        <v>0</v>
      </c>
      <c r="O48" s="11"/>
      <c r="P48" s="6">
        <v>58538.68</v>
      </c>
      <c r="Q48" s="2"/>
      <c r="R48" s="7">
        <f t="shared" si="25"/>
        <v>8.6921645645304788E-2</v>
      </c>
      <c r="S48" s="2"/>
      <c r="T48" s="6">
        <v>16306.670000000002</v>
      </c>
      <c r="U48" s="2"/>
      <c r="V48" s="7">
        <f t="shared" si="26"/>
        <v>1.0111321660257182E-2</v>
      </c>
      <c r="W48" s="2"/>
      <c r="X48" s="6">
        <f t="shared" si="27"/>
        <v>42232.009999999995</v>
      </c>
      <c r="Y48" s="2"/>
      <c r="Z48" s="7">
        <f t="shared" si="28"/>
        <v>2.5898610813857146</v>
      </c>
    </row>
    <row r="49" spans="1:26" s="24" customFormat="1" hidden="1" outlineLevel="2" x14ac:dyDescent="0.25">
      <c r="A49" s="28"/>
      <c r="B49" s="11" t="str">
        <f>CONCATENATE("          ", "6008", " - ", "STUDENT HOURLY-FICA EXEMPT")</f>
        <v xml:space="preserve">          6008 - STUDENT HOURLY-FICA EXEMPT</v>
      </c>
      <c r="C49" s="11"/>
      <c r="D49" s="6">
        <v>1839.89</v>
      </c>
      <c r="E49" s="2"/>
      <c r="F49" s="7">
        <f t="shared" si="21"/>
        <v>1.0702589652199139E-2</v>
      </c>
      <c r="G49" s="2"/>
      <c r="H49" s="6">
        <v>32254.819999999996</v>
      </c>
      <c r="I49" s="2"/>
      <c r="J49" s="7">
        <f t="shared" si="22"/>
        <v>8.0486339329605305E-2</v>
      </c>
      <c r="K49" s="2"/>
      <c r="L49" s="6">
        <f t="shared" si="23"/>
        <v>-30414.929999999997</v>
      </c>
      <c r="M49" s="2"/>
      <c r="N49" s="7">
        <f t="shared" si="24"/>
        <v>-0.94295767268271846</v>
      </c>
      <c r="O49" s="11"/>
      <c r="P49" s="6">
        <v>9534.85</v>
      </c>
      <c r="Q49" s="2"/>
      <c r="R49" s="7">
        <f t="shared" si="25"/>
        <v>1.4157901288193284E-2</v>
      </c>
      <c r="S49" s="2"/>
      <c r="T49" s="6">
        <v>113408.93000000001</v>
      </c>
      <c r="U49" s="2"/>
      <c r="V49" s="7">
        <f t="shared" si="26"/>
        <v>7.0321786752021748E-2</v>
      </c>
      <c r="W49" s="2"/>
      <c r="X49" s="6">
        <f t="shared" si="27"/>
        <v>-103874.08</v>
      </c>
      <c r="Y49" s="2"/>
      <c r="Z49" s="7">
        <f t="shared" si="28"/>
        <v>-0.91592505105197619</v>
      </c>
    </row>
    <row r="50" spans="1:26" s="24" customFormat="1" hidden="1" outlineLevel="2" x14ac:dyDescent="0.25">
      <c r="A50" s="28"/>
      <c r="B50" s="11" t="str">
        <f>CONCATENATE("          ", "6009", " - ", "TEMPORARY-SEASONAL")</f>
        <v xml:space="preserve">          6009 - TEMPORARY-SEASONAL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4" customFormat="1" hidden="1" outlineLevel="2" x14ac:dyDescent="0.25">
      <c r="A51" s="28"/>
      <c r="B51" s="11" t="str">
        <f>CONCATENATE("          ", "6010", " - ", "GRATUITY")</f>
        <v xml:space="preserve">          6010 - GRATUITY</v>
      </c>
      <c r="C51" s="11"/>
      <c r="D51" s="6"/>
      <c r="E51" s="2"/>
      <c r="F51" s="7">
        <f t="shared" si="21"/>
        <v>0</v>
      </c>
      <c r="G51" s="2"/>
      <c r="H51" s="6">
        <v>0</v>
      </c>
      <c r="I51" s="2"/>
      <c r="J51" s="7">
        <f t="shared" si="22"/>
        <v>0</v>
      </c>
      <c r="K51" s="2"/>
      <c r="L51" s="6">
        <f t="shared" si="23"/>
        <v>0</v>
      </c>
      <c r="M51" s="2"/>
      <c r="N51" s="7">
        <f t="shared" si="24"/>
        <v>0</v>
      </c>
      <c r="O51" s="11"/>
      <c r="P51" s="6"/>
      <c r="Q51" s="2"/>
      <c r="R51" s="7">
        <f t="shared" si="25"/>
        <v>0</v>
      </c>
      <c r="S51" s="2"/>
      <c r="T51" s="6">
        <v>0</v>
      </c>
      <c r="U51" s="2"/>
      <c r="V51" s="7">
        <f t="shared" si="26"/>
        <v>0</v>
      </c>
      <c r="W51" s="2"/>
      <c r="X51" s="6">
        <f t="shared" si="27"/>
        <v>0</v>
      </c>
      <c r="Y51" s="2"/>
      <c r="Z51" s="7">
        <f t="shared" si="28"/>
        <v>0</v>
      </c>
    </row>
    <row r="52" spans="1:26" s="29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15.9</v>
      </c>
      <c r="E52" s="1"/>
      <c r="F52" s="5">
        <f t="shared" ref="F52:F61" si="29">IF(D$12=0,0,D52/D$12)</f>
        <v>9.2489863779881567E-5</v>
      </c>
      <c r="G52" s="1"/>
      <c r="H52" s="1">
        <f>SUM(OSRRefH22_2x_0)</f>
        <v>1822</v>
      </c>
      <c r="I52" s="1"/>
      <c r="J52" s="5">
        <f t="shared" ref="J52:J61" si="30">IF(H$12=0,0,H52/H$12)</f>
        <v>4.5464867036474205E-3</v>
      </c>
      <c r="K52" s="1"/>
      <c r="L52" s="1">
        <f t="shared" ref="L52:L61" si="31">+D52-H52</f>
        <v>-1806.1</v>
      </c>
      <c r="M52" s="1"/>
      <c r="N52" s="5">
        <f t="shared" ref="N52:N61" si="32">IF(H52=0,0,L52/H52)</f>
        <v>-0.99127332601536766</v>
      </c>
      <c r="O52" s="14"/>
      <c r="P52" s="1">
        <f>SUM(OSRRefP22_2x_0)</f>
        <v>1555.53</v>
      </c>
      <c r="Q52" s="1"/>
      <c r="R52" s="5">
        <f t="shared" ref="R52:R61" si="33">IF(P$12=0,0,P52/P$12)</f>
        <v>2.3097416520263345E-3</v>
      </c>
      <c r="S52" s="1"/>
      <c r="T52" s="1">
        <f>SUM(OSRRefT22_2x_0)</f>
        <v>9086</v>
      </c>
      <c r="U52" s="1"/>
      <c r="V52" s="5">
        <f t="shared" ref="V52:V61" si="34">IF(T$12=0,0,T52/T$12)</f>
        <v>5.6339809786484151E-3</v>
      </c>
      <c r="W52" s="1"/>
      <c r="X52" s="1">
        <f t="shared" ref="X52:X61" si="35">+P52-T52</f>
        <v>-7530.47</v>
      </c>
      <c r="Y52" s="1"/>
      <c r="Z52" s="5">
        <f t="shared" ref="Z52:Z61" si="36">IF(T52=0,0,X52/T52)</f>
        <v>-0.82879925159586176</v>
      </c>
    </row>
    <row r="53" spans="1:26" s="24" customFormat="1" hidden="1" outlineLevel="2" x14ac:dyDescent="0.25">
      <c r="A53" s="28"/>
      <c r="B53" s="11" t="str">
        <f>CONCATENATE("          ", "6362", " - ", "ADVERTISING EXPENSE")</f>
        <v xml:space="preserve">          6362 - ADVERTISING EXPENSE</v>
      </c>
      <c r="C53" s="11"/>
      <c r="D53" s="6">
        <v>15.9</v>
      </c>
      <c r="E53" s="2"/>
      <c r="F53" s="7">
        <f t="shared" si="29"/>
        <v>9.2489863779881567E-5</v>
      </c>
      <c r="G53" s="2"/>
      <c r="H53" s="6">
        <v>1822</v>
      </c>
      <c r="I53" s="2"/>
      <c r="J53" s="7">
        <f t="shared" si="30"/>
        <v>4.5464867036474205E-3</v>
      </c>
      <c r="K53" s="2"/>
      <c r="L53" s="6">
        <f t="shared" si="31"/>
        <v>-1806.1</v>
      </c>
      <c r="M53" s="2"/>
      <c r="N53" s="7">
        <f t="shared" si="32"/>
        <v>-0.99127332601536766</v>
      </c>
      <c r="O53" s="11"/>
      <c r="P53" s="6">
        <v>1555.53</v>
      </c>
      <c r="Q53" s="2"/>
      <c r="R53" s="7">
        <f t="shared" si="33"/>
        <v>2.3097416520263345E-3</v>
      </c>
      <c r="S53" s="2"/>
      <c r="T53" s="6">
        <v>9086</v>
      </c>
      <c r="U53" s="2"/>
      <c r="V53" s="7">
        <f t="shared" si="34"/>
        <v>5.6339809786484151E-3</v>
      </c>
      <c r="W53" s="2"/>
      <c r="X53" s="6">
        <f t="shared" si="35"/>
        <v>-7530.47</v>
      </c>
      <c r="Y53" s="2"/>
      <c r="Z53" s="7">
        <f t="shared" si="36"/>
        <v>-0.82879925159586176</v>
      </c>
    </row>
    <row r="54" spans="1:26" s="29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-1331.23</v>
      </c>
      <c r="E54" s="1"/>
      <c r="F54" s="5">
        <f t="shared" si="29"/>
        <v>-7.743728387401996E-3</v>
      </c>
      <c r="G54" s="1"/>
      <c r="H54" s="1">
        <f>SUM(OSRRefH22_3x_0)</f>
        <v>41</v>
      </c>
      <c r="I54" s="1"/>
      <c r="J54" s="5">
        <f t="shared" si="30"/>
        <v>1.0230842746956324E-4</v>
      </c>
      <c r="K54" s="1"/>
      <c r="L54" s="1">
        <f t="shared" si="31"/>
        <v>-1372.23</v>
      </c>
      <c r="M54" s="1"/>
      <c r="N54" s="5">
        <f t="shared" si="32"/>
        <v>-33.469024390243902</v>
      </c>
      <c r="O54" s="14"/>
      <c r="P54" s="1">
        <f>SUM(OSRRefP22_3x_0)</f>
        <v>76.790000000000006</v>
      </c>
      <c r="Q54" s="1"/>
      <c r="R54" s="5">
        <f t="shared" si="33"/>
        <v>1.1402226987528512E-4</v>
      </c>
      <c r="S54" s="1"/>
      <c r="T54" s="1">
        <f>SUM(OSRRefT22_3x_0)</f>
        <v>194</v>
      </c>
      <c r="U54" s="1"/>
      <c r="V54" s="5">
        <f t="shared" si="34"/>
        <v>1.2029411290532605E-4</v>
      </c>
      <c r="W54" s="1"/>
      <c r="X54" s="1">
        <f t="shared" si="35"/>
        <v>-117.21</v>
      </c>
      <c r="Y54" s="1"/>
      <c r="Z54" s="5">
        <f t="shared" si="36"/>
        <v>-0.60417525773195868</v>
      </c>
    </row>
    <row r="55" spans="1:26" s="24" customFormat="1" hidden="1" outlineLevel="2" x14ac:dyDescent="0.25">
      <c r="A55" s="28"/>
      <c r="B55" s="11" t="str">
        <f>CONCATENATE("          ", "6272", " - ", "CASH (OVER/SHORT)")</f>
        <v xml:space="preserve">          6272 - CASH (OVER/SHORT)</v>
      </c>
      <c r="C55" s="11"/>
      <c r="D55" s="6">
        <v>-1331.23</v>
      </c>
      <c r="E55" s="2"/>
      <c r="F55" s="7">
        <f t="shared" si="29"/>
        <v>-7.743728387401996E-3</v>
      </c>
      <c r="G55" s="2"/>
      <c r="H55" s="6">
        <v>41</v>
      </c>
      <c r="I55" s="2"/>
      <c r="J55" s="7">
        <f t="shared" si="30"/>
        <v>1.0230842746956324E-4</v>
      </c>
      <c r="K55" s="2"/>
      <c r="L55" s="6">
        <f t="shared" si="31"/>
        <v>-1372.23</v>
      </c>
      <c r="M55" s="2"/>
      <c r="N55" s="7">
        <f t="shared" si="32"/>
        <v>-33.469024390243902</v>
      </c>
      <c r="O55" s="11"/>
      <c r="P55" s="6">
        <v>76.790000000000006</v>
      </c>
      <c r="Q55" s="2"/>
      <c r="R55" s="7">
        <f t="shared" si="33"/>
        <v>1.1402226987528512E-4</v>
      </c>
      <c r="S55" s="2"/>
      <c r="T55" s="6">
        <v>194</v>
      </c>
      <c r="U55" s="2"/>
      <c r="V55" s="7">
        <f t="shared" si="34"/>
        <v>1.2029411290532605E-4</v>
      </c>
      <c r="W55" s="2"/>
      <c r="X55" s="6">
        <f t="shared" si="35"/>
        <v>-117.21</v>
      </c>
      <c r="Y55" s="2"/>
      <c r="Z55" s="7">
        <f t="shared" si="36"/>
        <v>-0.60417525773195868</v>
      </c>
    </row>
    <row r="56" spans="1:26" s="29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757.56</v>
      </c>
      <c r="E56" s="1"/>
      <c r="F56" s="5">
        <f t="shared" si="29"/>
        <v>4.4067057361689985E-3</v>
      </c>
      <c r="G56" s="1"/>
      <c r="H56" s="1">
        <f>SUM(OSRRefH22_4x_0)</f>
        <v>3266</v>
      </c>
      <c r="I56" s="1"/>
      <c r="J56" s="5">
        <f t="shared" si="30"/>
        <v>8.1497396125754518E-3</v>
      </c>
      <c r="K56" s="1"/>
      <c r="L56" s="1">
        <f t="shared" si="31"/>
        <v>-2508.44</v>
      </c>
      <c r="M56" s="1"/>
      <c r="N56" s="5">
        <f t="shared" si="32"/>
        <v>-0.76804654011022655</v>
      </c>
      <c r="O56" s="14"/>
      <c r="P56" s="1">
        <f>SUM(OSRRefP22_4x_0)</f>
        <v>2625.37</v>
      </c>
      <c r="Q56" s="1"/>
      <c r="R56" s="5">
        <f t="shared" si="33"/>
        <v>3.8983024698851054E-3</v>
      </c>
      <c r="S56" s="1"/>
      <c r="T56" s="1">
        <f>SUM(OSRRefT22_4x_0)</f>
        <v>16816</v>
      </c>
      <c r="U56" s="1"/>
      <c r="V56" s="5">
        <f t="shared" si="34"/>
        <v>1.0427143312453417E-2</v>
      </c>
      <c r="W56" s="1"/>
      <c r="X56" s="1">
        <f t="shared" si="35"/>
        <v>-14190.630000000001</v>
      </c>
      <c r="Y56" s="1"/>
      <c r="Z56" s="5">
        <f t="shared" si="36"/>
        <v>-0.84387666508087544</v>
      </c>
    </row>
    <row r="57" spans="1:26" s="24" customFormat="1" hidden="1" outlineLevel="2" x14ac:dyDescent="0.25">
      <c r="A57" s="28"/>
      <c r="B57" s="11" t="str">
        <f>CONCATENATE("          ", "6381", " - ", "BANK/CREDIT CARD FEES")</f>
        <v xml:space="preserve">          6381 - BANK/CREDIT CARD FEES</v>
      </c>
      <c r="C57" s="11"/>
      <c r="D57" s="6">
        <v>757.56</v>
      </c>
      <c r="E57" s="2"/>
      <c r="F57" s="7">
        <f t="shared" si="29"/>
        <v>4.4067057361689985E-3</v>
      </c>
      <c r="G57" s="2"/>
      <c r="H57" s="6">
        <v>3266</v>
      </c>
      <c r="I57" s="2"/>
      <c r="J57" s="7">
        <f t="shared" si="30"/>
        <v>8.1497396125754518E-3</v>
      </c>
      <c r="K57" s="2"/>
      <c r="L57" s="6">
        <f t="shared" si="31"/>
        <v>-2508.44</v>
      </c>
      <c r="M57" s="2"/>
      <c r="N57" s="7">
        <f t="shared" si="32"/>
        <v>-0.76804654011022655</v>
      </c>
      <c r="O57" s="11"/>
      <c r="P57" s="6">
        <v>2625.37</v>
      </c>
      <c r="Q57" s="2"/>
      <c r="R57" s="7">
        <f t="shared" si="33"/>
        <v>3.8983024698851054E-3</v>
      </c>
      <c r="S57" s="2"/>
      <c r="T57" s="6">
        <v>16816</v>
      </c>
      <c r="U57" s="2"/>
      <c r="V57" s="7">
        <f t="shared" si="34"/>
        <v>1.0427143312453417E-2</v>
      </c>
      <c r="W57" s="2"/>
      <c r="X57" s="6">
        <f t="shared" si="35"/>
        <v>-14190.630000000001</v>
      </c>
      <c r="Y57" s="2"/>
      <c r="Z57" s="7">
        <f t="shared" si="36"/>
        <v>-0.84387666508087544</v>
      </c>
    </row>
    <row r="58" spans="1:26" s="29" customFormat="1" outlineLevel="1" collapsed="1" x14ac:dyDescent="0.2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37479.259999999995</v>
      </c>
      <c r="E58" s="1"/>
      <c r="F58" s="5">
        <f t="shared" si="29"/>
        <v>0.21801582716797255</v>
      </c>
      <c r="G58" s="1"/>
      <c r="H58" s="1">
        <f>SUM(OSRRefH22_5x_0)</f>
        <v>37930</v>
      </c>
      <c r="I58" s="1"/>
      <c r="J58" s="5">
        <f t="shared" si="30"/>
        <v>9.4647772046842285E-2</v>
      </c>
      <c r="K58" s="1"/>
      <c r="L58" s="1">
        <f t="shared" si="31"/>
        <v>-450.74000000000524</v>
      </c>
      <c r="M58" s="1"/>
      <c r="N58" s="5">
        <f t="shared" si="32"/>
        <v>-1.188346954916966E-2</v>
      </c>
      <c r="O58" s="14"/>
      <c r="P58" s="1">
        <f>SUM(OSRRefP22_5x_0)</f>
        <v>189691.38</v>
      </c>
      <c r="Q58" s="1"/>
      <c r="R58" s="5">
        <f t="shared" si="33"/>
        <v>0.28166482254688452</v>
      </c>
      <c r="S58" s="1"/>
      <c r="T58" s="1">
        <f>SUM(OSRRefT22_5x_0)</f>
        <v>192254</v>
      </c>
      <c r="U58" s="1"/>
      <c r="V58" s="5">
        <f t="shared" si="34"/>
        <v>0.11921146588917812</v>
      </c>
      <c r="W58" s="1"/>
      <c r="X58" s="1">
        <f t="shared" si="35"/>
        <v>-2562.6199999999953</v>
      </c>
      <c r="Y58" s="1"/>
      <c r="Z58" s="5">
        <f t="shared" si="36"/>
        <v>-1.3329345553278452E-2</v>
      </c>
    </row>
    <row r="59" spans="1:26" s="24" customFormat="1" hidden="1" outlineLevel="2" x14ac:dyDescent="0.25">
      <c r="A59" s="28"/>
      <c r="B59" s="11" t="str">
        <f>CONCATENATE("          ", "6321", " - ", "BUILDING DEPRECIATION")</f>
        <v xml:space="preserve">          6321 - BUILDING DEPRECIATION</v>
      </c>
      <c r="C59" s="11"/>
      <c r="D59" s="6">
        <v>23583.489999999998</v>
      </c>
      <c r="E59" s="2"/>
      <c r="F59" s="7">
        <f t="shared" si="29"/>
        <v>0.13718451431158485</v>
      </c>
      <c r="G59" s="2"/>
      <c r="H59" s="6"/>
      <c r="I59" s="2"/>
      <c r="J59" s="7">
        <f t="shared" si="30"/>
        <v>0</v>
      </c>
      <c r="K59" s="2"/>
      <c r="L59" s="6">
        <f t="shared" si="31"/>
        <v>23583.489999999998</v>
      </c>
      <c r="M59" s="2"/>
      <c r="N59" s="7">
        <f t="shared" si="32"/>
        <v>0</v>
      </c>
      <c r="O59" s="11"/>
      <c r="P59" s="6">
        <v>118701.64</v>
      </c>
      <c r="Q59" s="2"/>
      <c r="R59" s="7">
        <f t="shared" si="33"/>
        <v>0.17625511695167259</v>
      </c>
      <c r="S59" s="2"/>
      <c r="T59" s="6"/>
      <c r="U59" s="2"/>
      <c r="V59" s="7">
        <f t="shared" si="34"/>
        <v>0</v>
      </c>
      <c r="W59" s="2"/>
      <c r="X59" s="6">
        <f t="shared" si="35"/>
        <v>118701.64</v>
      </c>
      <c r="Y59" s="2"/>
      <c r="Z59" s="7">
        <f t="shared" si="36"/>
        <v>0</v>
      </c>
    </row>
    <row r="60" spans="1:26" s="24" customFormat="1" hidden="1" outlineLevel="2" x14ac:dyDescent="0.25">
      <c r="A60" s="28"/>
      <c r="B60" s="11" t="str">
        <f>CONCATENATE("          ", "6322", " - ", "EQUIPMENT DEPRECIATION EXPENSE")</f>
        <v xml:space="preserve">          6322 - EQUIPMENT DEPRECIATION EXPENSE</v>
      </c>
      <c r="C60" s="11"/>
      <c r="D60" s="6">
        <v>13895.77</v>
      </c>
      <c r="E60" s="2"/>
      <c r="F60" s="7">
        <f t="shared" si="29"/>
        <v>8.0831312856387727E-2</v>
      </c>
      <c r="G60" s="2"/>
      <c r="H60" s="6">
        <v>37380</v>
      </c>
      <c r="I60" s="2"/>
      <c r="J60" s="7">
        <f t="shared" si="30"/>
        <v>9.3275341922250579E-2</v>
      </c>
      <c r="K60" s="2"/>
      <c r="L60" s="6">
        <f t="shared" si="31"/>
        <v>-23484.23</v>
      </c>
      <c r="M60" s="2"/>
      <c r="N60" s="7">
        <f t="shared" si="32"/>
        <v>-0.62825655430711613</v>
      </c>
      <c r="O60" s="11"/>
      <c r="P60" s="6">
        <v>70989.740000000005</v>
      </c>
      <c r="Q60" s="2"/>
      <c r="R60" s="7">
        <f t="shared" si="33"/>
        <v>0.10540970559521191</v>
      </c>
      <c r="S60" s="2"/>
      <c r="T60" s="6">
        <v>189504</v>
      </c>
      <c r="U60" s="2"/>
      <c r="V60" s="7">
        <f t="shared" si="34"/>
        <v>0.11750626583510777</v>
      </c>
      <c r="W60" s="2"/>
      <c r="X60" s="6">
        <f t="shared" si="35"/>
        <v>-118514.26</v>
      </c>
      <c r="Y60" s="2"/>
      <c r="Z60" s="7">
        <f t="shared" si="36"/>
        <v>-0.62539186507936506</v>
      </c>
    </row>
    <row r="61" spans="1:26" s="24" customFormat="1" hidden="1" outlineLevel="2" x14ac:dyDescent="0.25">
      <c r="A61" s="28"/>
      <c r="B61" s="11" t="str">
        <f>CONCATENATE("          ", "6326", " - ", "VEHICLES DEPRECIATION EXPENSE")</f>
        <v xml:space="preserve">          6326 - VEHICLES DEPRECIATION EXPENSE</v>
      </c>
      <c r="C61" s="11"/>
      <c r="D61" s="6"/>
      <c r="E61" s="2"/>
      <c r="F61" s="7">
        <f t="shared" si="29"/>
        <v>0</v>
      </c>
      <c r="G61" s="2"/>
      <c r="H61" s="6">
        <v>550</v>
      </c>
      <c r="I61" s="2"/>
      <c r="J61" s="7">
        <f t="shared" si="30"/>
        <v>1.372430124591702E-3</v>
      </c>
      <c r="K61" s="2"/>
      <c r="L61" s="6">
        <f t="shared" si="31"/>
        <v>-550</v>
      </c>
      <c r="M61" s="2"/>
      <c r="N61" s="7">
        <f t="shared" si="32"/>
        <v>-1</v>
      </c>
      <c r="O61" s="11"/>
      <c r="P61" s="6"/>
      <c r="Q61" s="2"/>
      <c r="R61" s="7">
        <f t="shared" si="33"/>
        <v>0</v>
      </c>
      <c r="S61" s="2"/>
      <c r="T61" s="6">
        <v>2750</v>
      </c>
      <c r="U61" s="2"/>
      <c r="V61" s="7">
        <f t="shared" si="34"/>
        <v>1.7052000540703435E-3</v>
      </c>
      <c r="W61" s="2"/>
      <c r="X61" s="6">
        <f t="shared" si="35"/>
        <v>-2750</v>
      </c>
      <c r="Y61" s="2"/>
      <c r="Z61" s="7">
        <f t="shared" si="36"/>
        <v>-1</v>
      </c>
    </row>
    <row r="62" spans="1:26" s="29" customFormat="1" outlineLevel="1" collapsed="1" x14ac:dyDescent="0.25">
      <c r="A62" s="27"/>
      <c r="B62" s="14" t="str">
        <f>CONCATENATE("     ","Donations                                         ")</f>
        <v xml:space="preserve">     Donations                                         </v>
      </c>
      <c r="C62" s="14"/>
      <c r="D62" s="1">
        <f>SUM(OSRRefD22_6x_0)</f>
        <v>7935.78</v>
      </c>
      <c r="E62" s="1"/>
      <c r="F62" s="5">
        <f t="shared" ref="F62:F84" si="37">IF(D$12=0,0,D62/D$12)</f>
        <v>4.6162214540069718E-2</v>
      </c>
      <c r="G62" s="1"/>
      <c r="H62" s="1">
        <f>SUM(OSRRefH22_6x_0)</f>
        <v>14773</v>
      </c>
      <c r="I62" s="1"/>
      <c r="J62" s="5">
        <f t="shared" ref="J62:J84" si="38">IF(H$12=0,0,H62/H$12)</f>
        <v>3.686347314653312E-2</v>
      </c>
      <c r="K62" s="1"/>
      <c r="L62" s="1">
        <f t="shared" ref="L62:L84" si="39">+D62-H62</f>
        <v>-6837.22</v>
      </c>
      <c r="M62" s="1"/>
      <c r="N62" s="5">
        <f t="shared" ref="N62:N84" si="40">IF(H62=0,0,L62/H62)</f>
        <v>-0.46281865565558794</v>
      </c>
      <c r="O62" s="14"/>
      <c r="P62" s="1">
        <f>SUM(OSRRefP22_6x_0)</f>
        <v>30155.96</v>
      </c>
      <c r="Q62" s="1"/>
      <c r="R62" s="5">
        <f t="shared" ref="R62:R84" si="41">IF(P$12=0,0,P62/P$12)</f>
        <v>4.4777327900355546E-2</v>
      </c>
      <c r="S62" s="1"/>
      <c r="T62" s="1">
        <f>SUM(OSRRefT22_6x_0)</f>
        <v>54092</v>
      </c>
      <c r="U62" s="1"/>
      <c r="V62" s="5">
        <f t="shared" ref="V62:V84" si="42">IF(T$12=0,0,T62/T$12)</f>
        <v>3.3540975027190188E-2</v>
      </c>
      <c r="W62" s="1"/>
      <c r="X62" s="1">
        <f t="shared" ref="X62:X84" si="43">+P62-T62</f>
        <v>-23936.04</v>
      </c>
      <c r="Y62" s="1"/>
      <c r="Z62" s="5">
        <f t="shared" ref="Z62:Z84" si="44">IF(T62=0,0,X62/T62)</f>
        <v>-0.44250610071729646</v>
      </c>
    </row>
    <row r="63" spans="1:26" s="24" customFormat="1" hidden="1" outlineLevel="2" x14ac:dyDescent="0.25">
      <c r="A63" s="28"/>
      <c r="B63" s="11" t="str">
        <f>CONCATENATE("          ", "6399", " - ", "DONATION-ON CAMPUS")</f>
        <v xml:space="preserve">          6399 - DONATION-ON CAMPUS</v>
      </c>
      <c r="C63" s="11"/>
      <c r="D63" s="6">
        <v>7935.78</v>
      </c>
      <c r="E63" s="2"/>
      <c r="F63" s="7">
        <f t="shared" si="37"/>
        <v>4.6162214540069718E-2</v>
      </c>
      <c r="G63" s="2"/>
      <c r="H63" s="6">
        <v>14773</v>
      </c>
      <c r="I63" s="2"/>
      <c r="J63" s="7">
        <f t="shared" si="38"/>
        <v>3.686347314653312E-2</v>
      </c>
      <c r="K63" s="2"/>
      <c r="L63" s="6">
        <f t="shared" si="39"/>
        <v>-6837.22</v>
      </c>
      <c r="M63" s="2"/>
      <c r="N63" s="7">
        <f t="shared" si="40"/>
        <v>-0.46281865565558794</v>
      </c>
      <c r="O63" s="11"/>
      <c r="P63" s="6">
        <v>30155.96</v>
      </c>
      <c r="Q63" s="2"/>
      <c r="R63" s="7">
        <f t="shared" si="41"/>
        <v>4.4777327900355546E-2</v>
      </c>
      <c r="S63" s="2"/>
      <c r="T63" s="6">
        <v>54092</v>
      </c>
      <c r="U63" s="2"/>
      <c r="V63" s="7">
        <f t="shared" si="42"/>
        <v>3.3540975027190188E-2</v>
      </c>
      <c r="W63" s="2"/>
      <c r="X63" s="6">
        <f t="shared" si="43"/>
        <v>-23936.04</v>
      </c>
      <c r="Y63" s="2"/>
      <c r="Z63" s="7">
        <f t="shared" si="44"/>
        <v>-0.44250610071729646</v>
      </c>
    </row>
    <row r="64" spans="1:26" s="29" customFormat="1" outlineLevel="1" collapsed="1" x14ac:dyDescent="0.25">
      <c r="A64" s="27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0</v>
      </c>
      <c r="E64" s="1"/>
      <c r="F64" s="5">
        <f t="shared" si="37"/>
        <v>0</v>
      </c>
      <c r="G64" s="1"/>
      <c r="H64" s="1">
        <f>SUM(OSRRefH22_7x_0)</f>
        <v>300</v>
      </c>
      <c r="I64" s="1"/>
      <c r="J64" s="5">
        <f t="shared" si="38"/>
        <v>7.4859824977729201E-4</v>
      </c>
      <c r="K64" s="1"/>
      <c r="L64" s="1">
        <f t="shared" si="39"/>
        <v>-300</v>
      </c>
      <c r="M64" s="1"/>
      <c r="N64" s="5">
        <f t="shared" si="40"/>
        <v>-1</v>
      </c>
      <c r="O64" s="14"/>
      <c r="P64" s="1">
        <f>SUM(OSRRefP22_7x_0)</f>
        <v>0</v>
      </c>
      <c r="Q64" s="1"/>
      <c r="R64" s="5">
        <f t="shared" si="41"/>
        <v>0</v>
      </c>
      <c r="S64" s="1"/>
      <c r="T64" s="1">
        <f>SUM(OSRRefT22_7x_0)</f>
        <v>1300</v>
      </c>
      <c r="U64" s="1"/>
      <c r="V64" s="5">
        <f t="shared" si="42"/>
        <v>8.0609457101507153E-4</v>
      </c>
      <c r="W64" s="1"/>
      <c r="X64" s="1">
        <f t="shared" si="43"/>
        <v>-1300</v>
      </c>
      <c r="Y64" s="1"/>
      <c r="Z64" s="5">
        <f t="shared" si="44"/>
        <v>-1</v>
      </c>
    </row>
    <row r="65" spans="1:26" s="24" customFormat="1" hidden="1" outlineLevel="2" x14ac:dyDescent="0.25">
      <c r="A65" s="28"/>
      <c r="B65" s="11" t="str">
        <f>CONCATENATE("          ", "6277", " - ", "EMPLOYEE APPRECIATION")</f>
        <v xml:space="preserve">          6277 - EMPLOYEE APPRECIATION</v>
      </c>
      <c r="C65" s="11"/>
      <c r="D65" s="6"/>
      <c r="E65" s="2"/>
      <c r="F65" s="7">
        <f t="shared" si="37"/>
        <v>0</v>
      </c>
      <c r="G65" s="2"/>
      <c r="H65" s="6">
        <v>300</v>
      </c>
      <c r="I65" s="2"/>
      <c r="J65" s="7">
        <f t="shared" si="38"/>
        <v>7.4859824977729201E-4</v>
      </c>
      <c r="K65" s="2"/>
      <c r="L65" s="6">
        <f t="shared" si="39"/>
        <v>-300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1300</v>
      </c>
      <c r="U65" s="2"/>
      <c r="V65" s="7">
        <f t="shared" si="42"/>
        <v>8.0609457101507153E-4</v>
      </c>
      <c r="W65" s="2"/>
      <c r="X65" s="6">
        <f t="shared" si="43"/>
        <v>-1300</v>
      </c>
      <c r="Y65" s="2"/>
      <c r="Z65" s="7">
        <f t="shared" si="44"/>
        <v>-1</v>
      </c>
    </row>
    <row r="66" spans="1:26" s="29" customFormat="1" outlineLevel="1" collapsed="1" x14ac:dyDescent="0.25">
      <c r="A66" s="27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1043.17</v>
      </c>
      <c r="E66" s="1"/>
      <c r="F66" s="5">
        <f t="shared" si="37"/>
        <v>6.0680912703936513E-3</v>
      </c>
      <c r="G66" s="1"/>
      <c r="H66" s="1">
        <f>SUM(OSRRefH22_8x_0)</f>
        <v>999.33333333333303</v>
      </c>
      <c r="I66" s="1"/>
      <c r="J66" s="5">
        <f t="shared" si="38"/>
        <v>2.4936639475914677E-3</v>
      </c>
      <c r="K66" s="1"/>
      <c r="L66" s="1">
        <f t="shared" si="39"/>
        <v>43.836666666667043</v>
      </c>
      <c r="M66" s="1"/>
      <c r="N66" s="5">
        <f t="shared" si="40"/>
        <v>4.3865910607071769E-2</v>
      </c>
      <c r="O66" s="14"/>
      <c r="P66" s="1">
        <f>SUM(OSRRefP22_8x_0)</f>
        <v>6616.31</v>
      </c>
      <c r="Q66" s="1"/>
      <c r="R66" s="5">
        <f t="shared" si="41"/>
        <v>9.8242829066095549E-3</v>
      </c>
      <c r="S66" s="1"/>
      <c r="T66" s="1">
        <f>SUM(OSRRefT22_8x_0)</f>
        <v>5065.6666666666652</v>
      </c>
      <c r="U66" s="1"/>
      <c r="V66" s="5">
        <f t="shared" si="42"/>
        <v>3.1410818450553941E-3</v>
      </c>
      <c r="W66" s="1"/>
      <c r="X66" s="1">
        <f t="shared" si="43"/>
        <v>1550.6433333333352</v>
      </c>
      <c r="Y66" s="1"/>
      <c r="Z66" s="5">
        <f t="shared" si="44"/>
        <v>0.30610844245574831</v>
      </c>
    </row>
    <row r="67" spans="1:26" s="24" customFormat="1" hidden="1" outlineLevel="2" x14ac:dyDescent="0.25">
      <c r="A67" s="28"/>
      <c r="B67" s="11" t="str">
        <f>CONCATENATE("          ", "6351", " - ", "EQUIPMENT RENTAL")</f>
        <v xml:space="preserve">          6351 - EQUIPMENT RENTAL</v>
      </c>
      <c r="C67" s="11"/>
      <c r="D67" s="6">
        <v>1043.17</v>
      </c>
      <c r="E67" s="2"/>
      <c r="F67" s="7">
        <f t="shared" si="37"/>
        <v>6.0680912703936513E-3</v>
      </c>
      <c r="G67" s="2"/>
      <c r="H67" s="6">
        <v>999.33333333333303</v>
      </c>
      <c r="I67" s="2"/>
      <c r="J67" s="7">
        <f t="shared" si="38"/>
        <v>2.4936639475914677E-3</v>
      </c>
      <c r="K67" s="2"/>
      <c r="L67" s="6">
        <f t="shared" si="39"/>
        <v>43.836666666667043</v>
      </c>
      <c r="M67" s="2"/>
      <c r="N67" s="7">
        <f t="shared" si="40"/>
        <v>4.3865910607071769E-2</v>
      </c>
      <c r="O67" s="11"/>
      <c r="P67" s="6">
        <v>6616.31</v>
      </c>
      <c r="Q67" s="2"/>
      <c r="R67" s="7">
        <f t="shared" si="41"/>
        <v>9.8242829066095549E-3</v>
      </c>
      <c r="S67" s="2"/>
      <c r="T67" s="6">
        <v>5065.6666666666652</v>
      </c>
      <c r="U67" s="2"/>
      <c r="V67" s="7">
        <f t="shared" si="42"/>
        <v>3.1410818450553941E-3</v>
      </c>
      <c r="W67" s="2"/>
      <c r="X67" s="6">
        <f t="shared" si="43"/>
        <v>1550.6433333333352</v>
      </c>
      <c r="Y67" s="2"/>
      <c r="Z67" s="7">
        <f t="shared" si="44"/>
        <v>0.30610844245574831</v>
      </c>
    </row>
    <row r="68" spans="1:26" s="29" customFormat="1" outlineLevel="1" collapsed="1" x14ac:dyDescent="0.25">
      <c r="A68" s="27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0</v>
      </c>
      <c r="E68" s="1"/>
      <c r="F68" s="5">
        <f t="shared" si="37"/>
        <v>0</v>
      </c>
      <c r="G68" s="1"/>
      <c r="H68" s="1">
        <f>SUM(OSRRefH22_9x_0)</f>
        <v>0</v>
      </c>
      <c r="I68" s="1"/>
      <c r="J68" s="5">
        <f t="shared" si="38"/>
        <v>0</v>
      </c>
      <c r="K68" s="1"/>
      <c r="L68" s="1">
        <f t="shared" si="39"/>
        <v>0</v>
      </c>
      <c r="M68" s="1"/>
      <c r="N68" s="5">
        <f t="shared" si="40"/>
        <v>0</v>
      </c>
      <c r="O68" s="14"/>
      <c r="P68" s="1">
        <f>SUM(OSRRefP22_9x_0)</f>
        <v>-5.41</v>
      </c>
      <c r="Q68" s="1"/>
      <c r="R68" s="5">
        <f t="shared" si="41"/>
        <v>-8.0330834747401029E-6</v>
      </c>
      <c r="S68" s="1"/>
      <c r="T68" s="1">
        <f>SUM(OSRRefT22_9x_0)</f>
        <v>0</v>
      </c>
      <c r="U68" s="1"/>
      <c r="V68" s="5">
        <f t="shared" si="42"/>
        <v>0</v>
      </c>
      <c r="W68" s="1"/>
      <c r="X68" s="1">
        <f t="shared" si="43"/>
        <v>-5.41</v>
      </c>
      <c r="Y68" s="1"/>
      <c r="Z68" s="5">
        <f t="shared" si="44"/>
        <v>0</v>
      </c>
    </row>
    <row r="69" spans="1:26" s="24" customFormat="1" hidden="1" outlineLevel="2" x14ac:dyDescent="0.25">
      <c r="A69" s="28"/>
      <c r="B69" s="11" t="str">
        <f>CONCATENATE("          ", "6307", " - ", "POSTAGE")</f>
        <v xml:space="preserve">          6307 - POSTAGE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-5.41</v>
      </c>
      <c r="Q69" s="2"/>
      <c r="R69" s="7">
        <f t="shared" si="41"/>
        <v>-8.0330834747401029E-6</v>
      </c>
      <c r="S69" s="2"/>
      <c r="T69" s="6"/>
      <c r="U69" s="2"/>
      <c r="V69" s="7">
        <f t="shared" si="42"/>
        <v>0</v>
      </c>
      <c r="W69" s="2"/>
      <c r="X69" s="6">
        <f t="shared" si="43"/>
        <v>-5.41</v>
      </c>
      <c r="Y69" s="2"/>
      <c r="Z69" s="7">
        <f t="shared" si="44"/>
        <v>0</v>
      </c>
    </row>
    <row r="70" spans="1:26" s="29" customFormat="1" outlineLevel="1" collapsed="1" x14ac:dyDescent="0.25">
      <c r="A70" s="27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493</v>
      </c>
      <c r="E70" s="1"/>
      <c r="F70" s="5">
        <f t="shared" si="37"/>
        <v>2.8677674744328058E-3</v>
      </c>
      <c r="G70" s="1"/>
      <c r="H70" s="1">
        <f>SUM(OSRRefH22_10x_0)</f>
        <v>430</v>
      </c>
      <c r="I70" s="1"/>
      <c r="J70" s="5">
        <f t="shared" si="38"/>
        <v>1.0729908246807853E-3</v>
      </c>
      <c r="K70" s="1"/>
      <c r="L70" s="1">
        <f t="shared" si="39"/>
        <v>63</v>
      </c>
      <c r="M70" s="1"/>
      <c r="N70" s="5">
        <f t="shared" si="40"/>
        <v>0.14651162790697675</v>
      </c>
      <c r="O70" s="14"/>
      <c r="P70" s="1">
        <f>SUM(OSRRefP22_10x_0)</f>
        <v>10640.4</v>
      </c>
      <c r="Q70" s="1"/>
      <c r="R70" s="5">
        <f t="shared" si="41"/>
        <v>1.579948639641859E-2</v>
      </c>
      <c r="S70" s="1"/>
      <c r="T70" s="1">
        <f>SUM(OSRRefT22_10x_0)</f>
        <v>10925</v>
      </c>
      <c r="U70" s="1"/>
      <c r="V70" s="5">
        <f t="shared" si="42"/>
        <v>6.7742947602612742E-3</v>
      </c>
      <c r="W70" s="1"/>
      <c r="X70" s="1">
        <f t="shared" si="43"/>
        <v>-284.60000000000036</v>
      </c>
      <c r="Y70" s="1"/>
      <c r="Z70" s="5">
        <f t="shared" si="44"/>
        <v>-2.6050343249427951E-2</v>
      </c>
    </row>
    <row r="71" spans="1:26" s="24" customFormat="1" hidden="1" outlineLevel="2" x14ac:dyDescent="0.25">
      <c r="A71" s="28"/>
      <c r="B71" s="11" t="str">
        <f>CONCATENATE("          ", "6279", " - ", "GENERAL EXPENSE")</f>
        <v xml:space="preserve">          6279 - GENERAL EXPENSE</v>
      </c>
      <c r="C71" s="11"/>
      <c r="D71" s="6">
        <v>493</v>
      </c>
      <c r="E71" s="2"/>
      <c r="F71" s="7">
        <f t="shared" si="37"/>
        <v>2.8677674744328058E-3</v>
      </c>
      <c r="G71" s="2"/>
      <c r="H71" s="6">
        <v>430</v>
      </c>
      <c r="I71" s="2"/>
      <c r="J71" s="7">
        <f t="shared" si="38"/>
        <v>1.0729908246807853E-3</v>
      </c>
      <c r="K71" s="2"/>
      <c r="L71" s="6">
        <f t="shared" si="39"/>
        <v>63</v>
      </c>
      <c r="M71" s="2"/>
      <c r="N71" s="7">
        <f t="shared" si="40"/>
        <v>0.14651162790697675</v>
      </c>
      <c r="O71" s="11"/>
      <c r="P71" s="6">
        <v>10640.4</v>
      </c>
      <c r="Q71" s="2"/>
      <c r="R71" s="7">
        <f t="shared" si="41"/>
        <v>1.579948639641859E-2</v>
      </c>
      <c r="S71" s="2"/>
      <c r="T71" s="6">
        <v>10925</v>
      </c>
      <c r="U71" s="2"/>
      <c r="V71" s="7">
        <f t="shared" si="42"/>
        <v>6.7742947602612742E-3</v>
      </c>
      <c r="W71" s="2"/>
      <c r="X71" s="6">
        <f t="shared" si="43"/>
        <v>-284.60000000000036</v>
      </c>
      <c r="Y71" s="2"/>
      <c r="Z71" s="7">
        <f t="shared" si="44"/>
        <v>-2.6050343249427951E-2</v>
      </c>
    </row>
    <row r="72" spans="1:26" s="29" customFormat="1" outlineLevel="1" collapsed="1" x14ac:dyDescent="0.25">
      <c r="A72" s="27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4246.03</v>
      </c>
      <c r="E72" s="1"/>
      <c r="F72" s="5">
        <f t="shared" si="37"/>
        <v>2.469904001920066E-2</v>
      </c>
      <c r="G72" s="1"/>
      <c r="H72" s="1">
        <f>SUM(OSRRefH22_11x_0)</f>
        <v>4572</v>
      </c>
      <c r="I72" s="1"/>
      <c r="J72" s="5">
        <f t="shared" si="38"/>
        <v>1.1408637326605931E-2</v>
      </c>
      <c r="K72" s="1"/>
      <c r="L72" s="1">
        <f t="shared" si="39"/>
        <v>-325.97000000000025</v>
      </c>
      <c r="M72" s="1"/>
      <c r="N72" s="5">
        <f t="shared" si="40"/>
        <v>-7.1297025371828582E-2</v>
      </c>
      <c r="O72" s="14"/>
      <c r="P72" s="1">
        <f>SUM(OSRRefP22_11x_0)</f>
        <v>27342.15</v>
      </c>
      <c r="Q72" s="1"/>
      <c r="R72" s="5">
        <f t="shared" si="41"/>
        <v>4.059921872991961E-2</v>
      </c>
      <c r="S72" s="1"/>
      <c r="T72" s="1">
        <f>SUM(OSRRefT22_11x_0)</f>
        <v>22860</v>
      </c>
      <c r="U72" s="1"/>
      <c r="V72" s="5">
        <f t="shared" si="42"/>
        <v>1.4174862994926565E-2</v>
      </c>
      <c r="W72" s="1"/>
      <c r="X72" s="1">
        <f t="shared" si="43"/>
        <v>4482.1500000000015</v>
      </c>
      <c r="Y72" s="1"/>
      <c r="Z72" s="5">
        <f t="shared" si="44"/>
        <v>0.19606955380577434</v>
      </c>
    </row>
    <row r="73" spans="1:26" s="24" customFormat="1" hidden="1" outlineLevel="2" x14ac:dyDescent="0.25">
      <c r="A73" s="28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37"/>
        <v>2.469904001920066E-2</v>
      </c>
      <c r="G73" s="2"/>
      <c r="H73" s="6">
        <v>4572</v>
      </c>
      <c r="I73" s="2"/>
      <c r="J73" s="7">
        <f t="shared" si="38"/>
        <v>1.1408637326605931E-2</v>
      </c>
      <c r="K73" s="2"/>
      <c r="L73" s="6">
        <f t="shared" si="39"/>
        <v>-325.97000000000025</v>
      </c>
      <c r="M73" s="2"/>
      <c r="N73" s="7">
        <f t="shared" si="40"/>
        <v>-7.1297025371828582E-2</v>
      </c>
      <c r="O73" s="11"/>
      <c r="P73" s="6">
        <v>27342.15</v>
      </c>
      <c r="Q73" s="2"/>
      <c r="R73" s="7">
        <f t="shared" si="41"/>
        <v>4.059921872991961E-2</v>
      </c>
      <c r="S73" s="2"/>
      <c r="T73" s="6">
        <v>22860</v>
      </c>
      <c r="U73" s="2"/>
      <c r="V73" s="7">
        <f t="shared" si="42"/>
        <v>1.4174862994926565E-2</v>
      </c>
      <c r="W73" s="2"/>
      <c r="X73" s="6">
        <f t="shared" si="43"/>
        <v>4482.1500000000015</v>
      </c>
      <c r="Y73" s="2"/>
      <c r="Z73" s="7">
        <f t="shared" si="44"/>
        <v>0.19606955380577434</v>
      </c>
    </row>
    <row r="74" spans="1:26" s="29" customFormat="1" outlineLevel="1" collapsed="1" x14ac:dyDescent="0.25">
      <c r="A74" s="27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7510</v>
      </c>
      <c r="E74" s="1"/>
      <c r="F74" s="5">
        <f t="shared" si="37"/>
        <v>4.3685463961440914E-2</v>
      </c>
      <c r="G74" s="1"/>
      <c r="H74" s="1">
        <f>SUM(OSRRefH22_12x_0)</f>
        <v>7510</v>
      </c>
      <c r="I74" s="1"/>
      <c r="J74" s="5">
        <f t="shared" si="38"/>
        <v>1.8739909519424877E-2</v>
      </c>
      <c r="K74" s="1"/>
      <c r="L74" s="1">
        <f t="shared" si="39"/>
        <v>0</v>
      </c>
      <c r="M74" s="1"/>
      <c r="N74" s="5">
        <f t="shared" si="40"/>
        <v>0</v>
      </c>
      <c r="O74" s="14"/>
      <c r="P74" s="1">
        <f>SUM(OSRRefP22_12x_0)</f>
        <v>37063.15</v>
      </c>
      <c r="Q74" s="1"/>
      <c r="R74" s="5">
        <f t="shared" si="41"/>
        <v>5.5033526393126364E-2</v>
      </c>
      <c r="S74" s="1"/>
      <c r="T74" s="1">
        <f>SUM(OSRRefT22_12x_0)</f>
        <v>37550</v>
      </c>
      <c r="U74" s="1"/>
      <c r="V74" s="5">
        <f t="shared" si="42"/>
        <v>2.3283731647396874E-2</v>
      </c>
      <c r="W74" s="1"/>
      <c r="X74" s="1">
        <f t="shared" si="43"/>
        <v>-486.84999999999854</v>
      </c>
      <c r="Y74" s="1"/>
      <c r="Z74" s="5">
        <f t="shared" si="44"/>
        <v>-1.296537949400795E-2</v>
      </c>
    </row>
    <row r="75" spans="1:26" s="24" customFormat="1" hidden="1" outlineLevel="2" x14ac:dyDescent="0.25">
      <c r="A75" s="28"/>
      <c r="B75" s="11" t="str">
        <f>CONCATENATE("          ", "6401", " - ", "INTEREST EXPENSE")</f>
        <v xml:space="preserve">          6401 - INTEREST EXPENSE</v>
      </c>
      <c r="C75" s="11"/>
      <c r="D75" s="6">
        <v>7510</v>
      </c>
      <c r="E75" s="2"/>
      <c r="F75" s="7">
        <f t="shared" si="37"/>
        <v>4.3685463961440914E-2</v>
      </c>
      <c r="G75" s="2"/>
      <c r="H75" s="6">
        <v>7510</v>
      </c>
      <c r="I75" s="2"/>
      <c r="J75" s="7">
        <f t="shared" si="38"/>
        <v>1.8739909519424877E-2</v>
      </c>
      <c r="K75" s="2"/>
      <c r="L75" s="6">
        <f t="shared" si="39"/>
        <v>0</v>
      </c>
      <c r="M75" s="2"/>
      <c r="N75" s="7">
        <f t="shared" si="40"/>
        <v>0</v>
      </c>
      <c r="O75" s="11"/>
      <c r="P75" s="6">
        <v>37063.15</v>
      </c>
      <c r="Q75" s="2"/>
      <c r="R75" s="7">
        <f t="shared" si="41"/>
        <v>5.5033526393126364E-2</v>
      </c>
      <c r="S75" s="2"/>
      <c r="T75" s="6">
        <v>37550</v>
      </c>
      <c r="U75" s="2"/>
      <c r="V75" s="7">
        <f t="shared" si="42"/>
        <v>2.3283731647396874E-2</v>
      </c>
      <c r="W75" s="2"/>
      <c r="X75" s="6">
        <f t="shared" si="43"/>
        <v>-486.84999999999854</v>
      </c>
      <c r="Y75" s="2"/>
      <c r="Z75" s="7">
        <f t="shared" si="44"/>
        <v>-1.296537949400795E-2</v>
      </c>
    </row>
    <row r="76" spans="1:26" s="29" customFormat="1" outlineLevel="1" collapsed="1" x14ac:dyDescent="0.25">
      <c r="A76" s="27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7982.87</v>
      </c>
      <c r="E76" s="1"/>
      <c r="F76" s="5">
        <f t="shared" si="37"/>
        <v>4.6436135778144851E-2</v>
      </c>
      <c r="G76" s="1"/>
      <c r="H76" s="1">
        <f>SUM(OSRRefH22_13x_0)</f>
        <v>30806</v>
      </c>
      <c r="I76" s="1"/>
      <c r="J76" s="5">
        <f t="shared" si="38"/>
        <v>7.6871058942130865E-2</v>
      </c>
      <c r="K76" s="1"/>
      <c r="L76" s="1">
        <f t="shared" si="39"/>
        <v>-22823.13</v>
      </c>
      <c r="M76" s="1"/>
      <c r="N76" s="5">
        <f t="shared" si="40"/>
        <v>-0.74086638966435114</v>
      </c>
      <c r="O76" s="14"/>
      <c r="P76" s="1">
        <f>SUM(OSRRefP22_13x_0)</f>
        <v>36703.07</v>
      </c>
      <c r="Q76" s="1"/>
      <c r="R76" s="5">
        <f t="shared" si="41"/>
        <v>5.4498858611687469E-2</v>
      </c>
      <c r="S76" s="1"/>
      <c r="T76" s="1">
        <f>SUM(OSRRefT22_13x_0)</f>
        <v>122844</v>
      </c>
      <c r="U76" s="1"/>
      <c r="V76" s="5">
        <f t="shared" si="42"/>
        <v>7.6172216524442643E-2</v>
      </c>
      <c r="W76" s="1"/>
      <c r="X76" s="1">
        <f t="shared" si="43"/>
        <v>-86140.93</v>
      </c>
      <c r="Y76" s="1"/>
      <c r="Z76" s="5">
        <f t="shared" si="44"/>
        <v>-0.70122211911041643</v>
      </c>
    </row>
    <row r="77" spans="1:26" s="24" customFormat="1" hidden="1" outlineLevel="2" x14ac:dyDescent="0.25">
      <c r="A77" s="28"/>
      <c r="B77" s="11" t="str">
        <f>CONCATENATE("          ", "6387", " - ", "COMMISSION DUE HOUSING")</f>
        <v xml:space="preserve">          6387 - COMMISSION DUE HOUSING</v>
      </c>
      <c r="C77" s="11"/>
      <c r="D77" s="6">
        <v>7982.87</v>
      </c>
      <c r="E77" s="2"/>
      <c r="F77" s="7">
        <f t="shared" si="37"/>
        <v>4.6436135778144851E-2</v>
      </c>
      <c r="G77" s="2"/>
      <c r="H77" s="6">
        <v>30806</v>
      </c>
      <c r="I77" s="2"/>
      <c r="J77" s="7">
        <f t="shared" si="38"/>
        <v>7.6871058942130865E-2</v>
      </c>
      <c r="K77" s="2"/>
      <c r="L77" s="6">
        <f t="shared" si="39"/>
        <v>-22823.13</v>
      </c>
      <c r="M77" s="2"/>
      <c r="N77" s="7">
        <f t="shared" si="40"/>
        <v>-0.74086638966435114</v>
      </c>
      <c r="O77" s="11"/>
      <c r="P77" s="6">
        <v>36703.07</v>
      </c>
      <c r="Q77" s="2"/>
      <c r="R77" s="7">
        <f t="shared" si="41"/>
        <v>5.4498858611687469E-2</v>
      </c>
      <c r="S77" s="2"/>
      <c r="T77" s="6">
        <v>122844</v>
      </c>
      <c r="U77" s="2"/>
      <c r="V77" s="7">
        <f t="shared" si="42"/>
        <v>7.6172216524442643E-2</v>
      </c>
      <c r="W77" s="2"/>
      <c r="X77" s="6">
        <f t="shared" si="43"/>
        <v>-86140.93</v>
      </c>
      <c r="Y77" s="2"/>
      <c r="Z77" s="7">
        <f t="shared" si="44"/>
        <v>-0.70122211911041643</v>
      </c>
    </row>
    <row r="78" spans="1:26" s="29" customFormat="1" outlineLevel="1" collapsed="1" x14ac:dyDescent="0.25">
      <c r="A78" s="27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0</v>
      </c>
      <c r="E78" s="1"/>
      <c r="F78" s="5">
        <f t="shared" si="37"/>
        <v>0</v>
      </c>
      <c r="G78" s="1"/>
      <c r="H78" s="1">
        <f>SUM(OSRRefH22_14x_0)</f>
        <v>1943</v>
      </c>
      <c r="I78" s="1"/>
      <c r="J78" s="5">
        <f t="shared" si="38"/>
        <v>4.8484213310575949E-3</v>
      </c>
      <c r="K78" s="1"/>
      <c r="L78" s="1">
        <f t="shared" si="39"/>
        <v>-1943</v>
      </c>
      <c r="M78" s="1"/>
      <c r="N78" s="5">
        <f t="shared" si="40"/>
        <v>-1</v>
      </c>
      <c r="O78" s="14"/>
      <c r="P78" s="1">
        <f>SUM(OSRRefP22_14x_0)</f>
        <v>5550</v>
      </c>
      <c r="Q78" s="1"/>
      <c r="R78" s="5">
        <f t="shared" si="41"/>
        <v>8.2409636385965927E-3</v>
      </c>
      <c r="S78" s="1"/>
      <c r="T78" s="1">
        <f>SUM(OSRRefT22_14x_0)</f>
        <v>9715</v>
      </c>
      <c r="U78" s="1"/>
      <c r="V78" s="5">
        <f t="shared" si="42"/>
        <v>6.0240067364703224E-3</v>
      </c>
      <c r="W78" s="1"/>
      <c r="X78" s="1">
        <f t="shared" si="43"/>
        <v>-4165</v>
      </c>
      <c r="Y78" s="1"/>
      <c r="Z78" s="5">
        <f t="shared" si="44"/>
        <v>-0.4287184765826042</v>
      </c>
    </row>
    <row r="79" spans="1:26" s="24" customFormat="1" hidden="1" outlineLevel="2" x14ac:dyDescent="0.25">
      <c r="A79" s="28"/>
      <c r="B79" s="11" t="str">
        <f>CONCATENATE("          ", "6273", " - ", "RENT")</f>
        <v xml:space="preserve">          6273 - RENT</v>
      </c>
      <c r="C79" s="11"/>
      <c r="D79" s="6"/>
      <c r="E79" s="2"/>
      <c r="F79" s="7">
        <f t="shared" si="37"/>
        <v>0</v>
      </c>
      <c r="G79" s="2"/>
      <c r="H79" s="6">
        <v>1943</v>
      </c>
      <c r="I79" s="2"/>
      <c r="J79" s="7">
        <f t="shared" si="38"/>
        <v>4.8484213310575949E-3</v>
      </c>
      <c r="K79" s="2"/>
      <c r="L79" s="6">
        <f t="shared" si="39"/>
        <v>-1943</v>
      </c>
      <c r="M79" s="2"/>
      <c r="N79" s="7">
        <f t="shared" si="40"/>
        <v>-1</v>
      </c>
      <c r="O79" s="11"/>
      <c r="P79" s="6">
        <v>5550</v>
      </c>
      <c r="Q79" s="2"/>
      <c r="R79" s="7">
        <f t="shared" si="41"/>
        <v>8.2409636385965927E-3</v>
      </c>
      <c r="S79" s="2"/>
      <c r="T79" s="6">
        <v>9715</v>
      </c>
      <c r="U79" s="2"/>
      <c r="V79" s="7">
        <f t="shared" si="42"/>
        <v>6.0240067364703224E-3</v>
      </c>
      <c r="W79" s="2"/>
      <c r="X79" s="6">
        <f t="shared" si="43"/>
        <v>-4165</v>
      </c>
      <c r="Y79" s="2"/>
      <c r="Z79" s="7">
        <f t="shared" si="44"/>
        <v>-0.4287184765826042</v>
      </c>
    </row>
    <row r="80" spans="1:26" s="29" customFormat="1" outlineLevel="1" collapsed="1" x14ac:dyDescent="0.25">
      <c r="A80" s="27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4248.8500000000004</v>
      </c>
      <c r="E80" s="1"/>
      <c r="F80" s="5">
        <f t="shared" si="37"/>
        <v>2.4715443881833322E-2</v>
      </c>
      <c r="G80" s="1"/>
      <c r="H80" s="1">
        <f>SUM(OSRRefH22_15x_0)</f>
        <v>14763</v>
      </c>
      <c r="I80" s="1"/>
      <c r="J80" s="5">
        <f t="shared" si="38"/>
        <v>3.6838519871540541E-2</v>
      </c>
      <c r="K80" s="1"/>
      <c r="L80" s="1">
        <f t="shared" si="39"/>
        <v>-10514.15</v>
      </c>
      <c r="M80" s="1"/>
      <c r="N80" s="5">
        <f t="shared" si="40"/>
        <v>-0.71219603061708325</v>
      </c>
      <c r="O80" s="14"/>
      <c r="P80" s="1">
        <f>SUM(OSRRefP22_15x_0)</f>
        <v>22583.9</v>
      </c>
      <c r="Q80" s="1"/>
      <c r="R80" s="5">
        <f t="shared" si="41"/>
        <v>3.3533891660847137E-2</v>
      </c>
      <c r="S80" s="1"/>
      <c r="T80" s="1">
        <f>SUM(OSRRefT22_15x_0)</f>
        <v>30840</v>
      </c>
      <c r="U80" s="1"/>
      <c r="V80" s="5">
        <f t="shared" si="42"/>
        <v>1.9123043515465236E-2</v>
      </c>
      <c r="W80" s="1"/>
      <c r="X80" s="1">
        <f t="shared" si="43"/>
        <v>-8256.0999999999985</v>
      </c>
      <c r="Y80" s="1"/>
      <c r="Z80" s="5">
        <f t="shared" si="44"/>
        <v>-0.26770752269779502</v>
      </c>
    </row>
    <row r="81" spans="1:26" s="24" customFormat="1" hidden="1" outlineLevel="2" x14ac:dyDescent="0.25">
      <c r="A81" s="28"/>
      <c r="B81" s="11" t="str">
        <f>CONCATENATE("          ", "6371", " - ", "COMPUTER SOFTWARE MAINTENANCE")</f>
        <v xml:space="preserve">          6371 - COMPUTER SOFTWARE MAINTENANCE</v>
      </c>
      <c r="C81" s="11"/>
      <c r="D81" s="6"/>
      <c r="E81" s="2"/>
      <c r="F81" s="7">
        <f t="shared" si="37"/>
        <v>0</v>
      </c>
      <c r="G81" s="2"/>
      <c r="H81" s="6">
        <v>8500</v>
      </c>
      <c r="I81" s="2"/>
      <c r="J81" s="7">
        <f t="shared" si="38"/>
        <v>2.1210283743689939E-2</v>
      </c>
      <c r="K81" s="2"/>
      <c r="L81" s="6">
        <f t="shared" si="39"/>
        <v>-8500</v>
      </c>
      <c r="M81" s="2"/>
      <c r="N81" s="7">
        <f t="shared" si="40"/>
        <v>-1</v>
      </c>
      <c r="O81" s="11"/>
      <c r="P81" s="6"/>
      <c r="Q81" s="2"/>
      <c r="R81" s="7">
        <f t="shared" si="41"/>
        <v>0</v>
      </c>
      <c r="S81" s="2"/>
      <c r="T81" s="6">
        <v>8500</v>
      </c>
      <c r="U81" s="2"/>
      <c r="V81" s="7">
        <f t="shared" si="42"/>
        <v>5.2706183489446981E-3</v>
      </c>
      <c r="W81" s="2"/>
      <c r="X81" s="6">
        <f t="shared" si="43"/>
        <v>-8500</v>
      </c>
      <c r="Y81" s="2"/>
      <c r="Z81" s="7">
        <f t="shared" si="44"/>
        <v>-1</v>
      </c>
    </row>
    <row r="82" spans="1:26" s="24" customFormat="1" hidden="1" outlineLevel="2" x14ac:dyDescent="0.25">
      <c r="A82" s="28"/>
      <c r="B82" s="11" t="str">
        <f>CONCATENATE("          ", "6372", " - ", "COMPUTER HARDWARE MAINTENANCE")</f>
        <v xml:space="preserve">          6372 - COMPUTER HARDWARE MAINTENANCE</v>
      </c>
      <c r="C82" s="11"/>
      <c r="D82" s="6"/>
      <c r="E82" s="2"/>
      <c r="F82" s="7">
        <f t="shared" si="37"/>
        <v>0</v>
      </c>
      <c r="G82" s="2"/>
      <c r="H82" s="6"/>
      <c r="I82" s="2"/>
      <c r="J82" s="7">
        <f t="shared" si="38"/>
        <v>0</v>
      </c>
      <c r="K82" s="2"/>
      <c r="L82" s="6">
        <f t="shared" si="39"/>
        <v>0</v>
      </c>
      <c r="M82" s="2"/>
      <c r="N82" s="7">
        <f t="shared" si="40"/>
        <v>0</v>
      </c>
      <c r="O82" s="11"/>
      <c r="P82" s="6"/>
      <c r="Q82" s="2"/>
      <c r="R82" s="7">
        <f t="shared" si="41"/>
        <v>0</v>
      </c>
      <c r="S82" s="2"/>
      <c r="T82" s="6">
        <v>3083</v>
      </c>
      <c r="U82" s="2"/>
      <c r="V82" s="7">
        <f t="shared" si="42"/>
        <v>1.9116842787995888E-3</v>
      </c>
      <c r="W82" s="2"/>
      <c r="X82" s="6">
        <f t="shared" si="43"/>
        <v>-3083</v>
      </c>
      <c r="Y82" s="2"/>
      <c r="Z82" s="7">
        <f t="shared" si="44"/>
        <v>-1</v>
      </c>
    </row>
    <row r="83" spans="1:26" s="24" customFormat="1" hidden="1" outlineLevel="2" x14ac:dyDescent="0.25">
      <c r="A83" s="28"/>
      <c r="B83" s="11" t="str">
        <f>CONCATENATE("          ", "6373", " - ", "MAINTENANCE CONTRACTS")</f>
        <v xml:space="preserve">          6373 - MAINTENANCE CONTRACTS</v>
      </c>
      <c r="C83" s="11"/>
      <c r="D83" s="6">
        <v>908.53</v>
      </c>
      <c r="E83" s="2"/>
      <c r="F83" s="7">
        <f t="shared" si="37"/>
        <v>5.2848940842726913E-3</v>
      </c>
      <c r="G83" s="2"/>
      <c r="H83" s="6">
        <v>3663</v>
      </c>
      <c r="I83" s="2"/>
      <c r="J83" s="7">
        <f t="shared" si="38"/>
        <v>9.1403846297807359E-3</v>
      </c>
      <c r="K83" s="2"/>
      <c r="L83" s="6">
        <f t="shared" si="39"/>
        <v>-2754.4700000000003</v>
      </c>
      <c r="M83" s="2"/>
      <c r="N83" s="7">
        <f t="shared" si="40"/>
        <v>-0.751971061971062</v>
      </c>
      <c r="O83" s="11"/>
      <c r="P83" s="6">
        <v>12512.01</v>
      </c>
      <c r="Q83" s="2"/>
      <c r="R83" s="7">
        <f t="shared" si="41"/>
        <v>1.8578562064100353E-2</v>
      </c>
      <c r="S83" s="2"/>
      <c r="T83" s="6">
        <v>5798</v>
      </c>
      <c r="U83" s="2"/>
      <c r="V83" s="7">
        <f t="shared" si="42"/>
        <v>3.5951817867272188E-3</v>
      </c>
      <c r="W83" s="2"/>
      <c r="X83" s="6">
        <f t="shared" si="43"/>
        <v>6714.01</v>
      </c>
      <c r="Y83" s="2"/>
      <c r="Z83" s="7">
        <f t="shared" si="44"/>
        <v>1.1579872369782684</v>
      </c>
    </row>
    <row r="84" spans="1:26" s="24" customFormat="1" hidden="1" outlineLevel="2" x14ac:dyDescent="0.25">
      <c r="A84" s="28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3340.32</v>
      </c>
      <c r="E84" s="2"/>
      <c r="F84" s="7">
        <f t="shared" si="37"/>
        <v>1.943054979756063E-2</v>
      </c>
      <c r="G84" s="2"/>
      <c r="H84" s="6">
        <v>2600</v>
      </c>
      <c r="I84" s="2"/>
      <c r="J84" s="7">
        <f t="shared" si="38"/>
        <v>6.4878514980698642E-3</v>
      </c>
      <c r="K84" s="2"/>
      <c r="L84" s="6">
        <f t="shared" si="39"/>
        <v>740.32000000000016</v>
      </c>
      <c r="M84" s="2"/>
      <c r="N84" s="7">
        <f t="shared" si="40"/>
        <v>0.28473846153846161</v>
      </c>
      <c r="O84" s="11"/>
      <c r="P84" s="6">
        <v>10071.89</v>
      </c>
      <c r="Q84" s="2"/>
      <c r="R84" s="7">
        <f t="shared" si="41"/>
        <v>1.495532959674678E-2</v>
      </c>
      <c r="S84" s="2"/>
      <c r="T84" s="6">
        <v>13459</v>
      </c>
      <c r="U84" s="2"/>
      <c r="V84" s="7">
        <f t="shared" si="42"/>
        <v>8.3455591009937279E-3</v>
      </c>
      <c r="W84" s="2"/>
      <c r="X84" s="6">
        <f t="shared" si="43"/>
        <v>-3387.1100000000006</v>
      </c>
      <c r="Y84" s="2"/>
      <c r="Z84" s="7">
        <f t="shared" si="44"/>
        <v>-0.25166134185303518</v>
      </c>
    </row>
    <row r="85" spans="1:26" s="29" customFormat="1" outlineLevel="1" collapsed="1" x14ac:dyDescent="0.25">
      <c r="A85" s="27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SUM(OSRRefD22_16x_0)</f>
        <v>0</v>
      </c>
      <c r="E85" s="1"/>
      <c r="F85" s="5">
        <f t="shared" ref="F85:F87" si="45">IF(D$12=0,0,D85/D$12)</f>
        <v>0</v>
      </c>
      <c r="G85" s="1"/>
      <c r="H85" s="1">
        <f>SUM(OSRRefH22_16x_0)</f>
        <v>0</v>
      </c>
      <c r="I85" s="1"/>
      <c r="J85" s="5">
        <f t="shared" ref="J85:J87" si="46">IF(H$12=0,0,H85/H$12)</f>
        <v>0</v>
      </c>
      <c r="K85" s="1"/>
      <c r="L85" s="1">
        <f t="shared" ref="L85:L87" si="47">+D85-H85</f>
        <v>0</v>
      </c>
      <c r="M85" s="1"/>
      <c r="N85" s="5">
        <f t="shared" ref="N85:N87" si="48">IF(H85=0,0,L85/H85)</f>
        <v>0</v>
      </c>
      <c r="O85" s="14"/>
      <c r="P85" s="1">
        <f>SUM(OSRRefP22_16x_0)</f>
        <v>0</v>
      </c>
      <c r="Q85" s="1"/>
      <c r="R85" s="5">
        <f t="shared" ref="R85:R87" si="49">IF(P$12=0,0,P85/P$12)</f>
        <v>0</v>
      </c>
      <c r="S85" s="1"/>
      <c r="T85" s="1">
        <f>SUM(OSRRefT22_16x_0)</f>
        <v>0</v>
      </c>
      <c r="U85" s="1"/>
      <c r="V85" s="5">
        <f t="shared" ref="V85:V87" si="50">IF(T$12=0,0,T85/T$12)</f>
        <v>0</v>
      </c>
      <c r="W85" s="1"/>
      <c r="X85" s="1">
        <f t="shared" ref="X85:X87" si="51">+P85-T85</f>
        <v>0</v>
      </c>
      <c r="Y85" s="1"/>
      <c r="Z85" s="5">
        <f t="shared" ref="Z85:Z87" si="52">IF(T85=0,0,X85/T85)</f>
        <v>0</v>
      </c>
    </row>
    <row r="86" spans="1:26" s="24" customFormat="1" hidden="1" outlineLevel="2" x14ac:dyDescent="0.25">
      <c r="A86" s="28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45"/>
        <v>0</v>
      </c>
      <c r="G86" s="2"/>
      <c r="H86" s="6">
        <v>0</v>
      </c>
      <c r="I86" s="2"/>
      <c r="J86" s="7">
        <f t="shared" si="46"/>
        <v>0</v>
      </c>
      <c r="K86" s="2"/>
      <c r="L86" s="6">
        <f t="shared" si="47"/>
        <v>0</v>
      </c>
      <c r="M86" s="2"/>
      <c r="N86" s="7">
        <f t="shared" si="48"/>
        <v>0</v>
      </c>
      <c r="O86" s="11"/>
      <c r="P86" s="6"/>
      <c r="Q86" s="2"/>
      <c r="R86" s="7">
        <f t="shared" si="49"/>
        <v>0</v>
      </c>
      <c r="S86" s="2"/>
      <c r="T86" s="6">
        <v>0</v>
      </c>
      <c r="U86" s="2"/>
      <c r="V86" s="7">
        <f t="shared" si="50"/>
        <v>0</v>
      </c>
      <c r="W86" s="2"/>
      <c r="X86" s="6">
        <f t="shared" si="51"/>
        <v>0</v>
      </c>
      <c r="Y86" s="2"/>
      <c r="Z86" s="7">
        <f t="shared" si="52"/>
        <v>0</v>
      </c>
    </row>
    <row r="87" spans="1:26" s="24" customFormat="1" hidden="1" outlineLevel="2" x14ac:dyDescent="0.25">
      <c r="A87" s="28"/>
      <c r="B87" s="11" t="str">
        <f>CONCATENATE("          ", "6259", " - ", "ROYALTY &amp; COMMISSIONS")</f>
        <v xml:space="preserve">          6259 - ROYALTY &amp; COMMISSIONS</v>
      </c>
      <c r="C87" s="11"/>
      <c r="D87" s="6"/>
      <c r="E87" s="2"/>
      <c r="F87" s="7">
        <f t="shared" si="45"/>
        <v>0</v>
      </c>
      <c r="G87" s="2"/>
      <c r="H87" s="6">
        <v>0</v>
      </c>
      <c r="I87" s="2"/>
      <c r="J87" s="7">
        <f t="shared" si="46"/>
        <v>0</v>
      </c>
      <c r="K87" s="2"/>
      <c r="L87" s="6">
        <f t="shared" si="47"/>
        <v>0</v>
      </c>
      <c r="M87" s="2"/>
      <c r="N87" s="7">
        <f t="shared" si="48"/>
        <v>0</v>
      </c>
      <c r="O87" s="11"/>
      <c r="P87" s="6"/>
      <c r="Q87" s="2"/>
      <c r="R87" s="7">
        <f t="shared" si="49"/>
        <v>0</v>
      </c>
      <c r="S87" s="2"/>
      <c r="T87" s="6">
        <v>0</v>
      </c>
      <c r="U87" s="2"/>
      <c r="V87" s="7">
        <f t="shared" si="50"/>
        <v>0</v>
      </c>
      <c r="W87" s="2"/>
      <c r="X87" s="6">
        <f t="shared" si="51"/>
        <v>0</v>
      </c>
      <c r="Y87" s="2"/>
      <c r="Z87" s="7">
        <f t="shared" si="52"/>
        <v>0</v>
      </c>
    </row>
    <row r="88" spans="1:26" s="29" customFormat="1" outlineLevel="1" collapsed="1" x14ac:dyDescent="0.25">
      <c r="A88" s="27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SUM(OSRRefD22_17x_0)</f>
        <v>17799.97</v>
      </c>
      <c r="E88" s="1"/>
      <c r="F88" s="5">
        <f t="shared" ref="F88:F93" si="53">IF(D$12=0,0,D88/D$12)</f>
        <v>0.10354193714377223</v>
      </c>
      <c r="G88" s="1"/>
      <c r="H88" s="1">
        <f>SUM(OSRRefH22_17x_0)</f>
        <v>26256</v>
      </c>
      <c r="I88" s="1"/>
      <c r="J88" s="5">
        <f t="shared" ref="J88:J93" si="54">IF(H$12=0,0,H88/H$12)</f>
        <v>6.5517318820508597E-2</v>
      </c>
      <c r="K88" s="1"/>
      <c r="L88" s="1">
        <f t="shared" ref="L88:L93" si="55">+D88-H88</f>
        <v>-8456.0299999999988</v>
      </c>
      <c r="M88" s="1"/>
      <c r="N88" s="5">
        <f t="shared" ref="N88:N93" si="56">IF(H88=0,0,L88/H88)</f>
        <v>-0.32206086227909808</v>
      </c>
      <c r="O88" s="14"/>
      <c r="P88" s="1">
        <f>SUM(OSRRefP22_17x_0)</f>
        <v>78445.11</v>
      </c>
      <c r="Q88" s="1"/>
      <c r="R88" s="5">
        <f t="shared" ref="R88:R93" si="57">IF(P$12=0,0,P88/P$12)</f>
        <v>0.11647987371814594</v>
      </c>
      <c r="S88" s="1"/>
      <c r="T88" s="1">
        <f>SUM(OSRRefT22_17x_0)</f>
        <v>128695</v>
      </c>
      <c r="U88" s="1"/>
      <c r="V88" s="5">
        <f t="shared" ref="V88:V93" si="58">IF(T$12=0,0,T88/T$12)</f>
        <v>7.980026216675741E-2</v>
      </c>
      <c r="W88" s="1"/>
      <c r="X88" s="1">
        <f t="shared" ref="X88:X93" si="59">+P88-T88</f>
        <v>-50249.89</v>
      </c>
      <c r="Y88" s="1"/>
      <c r="Z88" s="5">
        <f t="shared" ref="Z88:Z93" si="60">IF(T88=0,0,X88/T88)</f>
        <v>-0.39045720501962</v>
      </c>
    </row>
    <row r="89" spans="1:26" s="24" customFormat="1" hidden="1" outlineLevel="2" x14ac:dyDescent="0.25">
      <c r="A89" s="28"/>
      <c r="B89" s="11" t="str">
        <f>CONCATENATE("          ", "6282", " - ", "JANITORIAL/EXTERMINATOR EXPENS")</f>
        <v xml:space="preserve">          6282 - JANITORIAL/EXTERMINATOR EXPENS</v>
      </c>
      <c r="C89" s="11"/>
      <c r="D89" s="6">
        <v>130.69999999999999</v>
      </c>
      <c r="E89" s="2"/>
      <c r="F89" s="7">
        <f t="shared" si="53"/>
        <v>7.6027831421575593E-4</v>
      </c>
      <c r="G89" s="2"/>
      <c r="H89" s="6">
        <v>2705</v>
      </c>
      <c r="I89" s="2"/>
      <c r="J89" s="7">
        <f t="shared" si="54"/>
        <v>6.7498608854919167E-3</v>
      </c>
      <c r="K89" s="2"/>
      <c r="L89" s="6">
        <f t="shared" si="55"/>
        <v>-2574.3000000000002</v>
      </c>
      <c r="M89" s="2"/>
      <c r="N89" s="7">
        <f t="shared" si="56"/>
        <v>-0.95168207024029583</v>
      </c>
      <c r="O89" s="11"/>
      <c r="P89" s="6">
        <v>5641.36</v>
      </c>
      <c r="Q89" s="2"/>
      <c r="R89" s="7">
        <f t="shared" si="57"/>
        <v>8.3766202940960856E-3</v>
      </c>
      <c r="S89" s="2"/>
      <c r="T89" s="6">
        <v>13525</v>
      </c>
      <c r="U89" s="2"/>
      <c r="V89" s="7">
        <f t="shared" si="58"/>
        <v>8.3864839022914171E-3</v>
      </c>
      <c r="W89" s="2"/>
      <c r="X89" s="6">
        <f t="shared" si="59"/>
        <v>-7883.64</v>
      </c>
      <c r="Y89" s="2"/>
      <c r="Z89" s="7">
        <f t="shared" si="60"/>
        <v>-0.58289390018484288</v>
      </c>
    </row>
    <row r="90" spans="1:26" s="24" customFormat="1" hidden="1" outlineLevel="2" x14ac:dyDescent="0.25">
      <c r="A90" s="28"/>
      <c r="B90" s="11" t="str">
        <f>CONCATENATE("          ", "6283", " - ", "PLANT SERVICE")</f>
        <v xml:space="preserve">          6283 - PLANT SERVICE</v>
      </c>
      <c r="C90" s="11"/>
      <c r="D90" s="6"/>
      <c r="E90" s="2"/>
      <c r="F90" s="7">
        <f t="shared" si="53"/>
        <v>0</v>
      </c>
      <c r="G90" s="2"/>
      <c r="H90" s="6">
        <v>62</v>
      </c>
      <c r="I90" s="2"/>
      <c r="J90" s="7">
        <f t="shared" si="54"/>
        <v>1.5471030495397368E-4</v>
      </c>
      <c r="K90" s="2"/>
      <c r="L90" s="6">
        <f t="shared" si="55"/>
        <v>-62</v>
      </c>
      <c r="M90" s="2"/>
      <c r="N90" s="7">
        <f t="shared" si="56"/>
        <v>-1</v>
      </c>
      <c r="O90" s="11"/>
      <c r="P90" s="6"/>
      <c r="Q90" s="2"/>
      <c r="R90" s="7">
        <f t="shared" si="57"/>
        <v>0</v>
      </c>
      <c r="S90" s="2"/>
      <c r="T90" s="6">
        <v>248</v>
      </c>
      <c r="U90" s="2"/>
      <c r="V90" s="7">
        <f t="shared" si="58"/>
        <v>1.5377804123979826E-4</v>
      </c>
      <c r="W90" s="2"/>
      <c r="X90" s="6">
        <f t="shared" si="59"/>
        <v>-248</v>
      </c>
      <c r="Y90" s="2"/>
      <c r="Z90" s="7">
        <f t="shared" si="60"/>
        <v>-1</v>
      </c>
    </row>
    <row r="91" spans="1:26" s="24" customFormat="1" hidden="1" outlineLevel="2" x14ac:dyDescent="0.25">
      <c r="A91" s="28"/>
      <c r="B91" s="11" t="str">
        <f>CONCATENATE("          ", "6284", " - ", "TRASH REMOVAL EXPENSE")</f>
        <v xml:space="preserve">          6284 - TRASH REMOVAL EXPENSE</v>
      </c>
      <c r="C91" s="11"/>
      <c r="D91" s="6">
        <v>5369</v>
      </c>
      <c r="E91" s="2"/>
      <c r="F91" s="7">
        <f t="shared" si="53"/>
        <v>3.1231325700263154E-2</v>
      </c>
      <c r="G91" s="2"/>
      <c r="H91" s="6">
        <v>3623</v>
      </c>
      <c r="I91" s="2"/>
      <c r="J91" s="7">
        <f t="shared" si="54"/>
        <v>9.0405715298104306E-3</v>
      </c>
      <c r="K91" s="2"/>
      <c r="L91" s="6">
        <f t="shared" si="55"/>
        <v>1746</v>
      </c>
      <c r="M91" s="2"/>
      <c r="N91" s="7">
        <f t="shared" si="56"/>
        <v>0.48192105989511452</v>
      </c>
      <c r="O91" s="11"/>
      <c r="P91" s="6">
        <v>13499</v>
      </c>
      <c r="Q91" s="2"/>
      <c r="R91" s="7">
        <f t="shared" si="57"/>
        <v>2.0044102370705478E-2</v>
      </c>
      <c r="S91" s="2"/>
      <c r="T91" s="6">
        <v>15292</v>
      </c>
      <c r="U91" s="2"/>
      <c r="V91" s="7">
        <f t="shared" si="58"/>
        <v>9.4821524461249796E-3</v>
      </c>
      <c r="W91" s="2"/>
      <c r="X91" s="6">
        <f t="shared" si="59"/>
        <v>-1793</v>
      </c>
      <c r="Y91" s="2"/>
      <c r="Z91" s="7">
        <f t="shared" si="60"/>
        <v>-0.11725085011770861</v>
      </c>
    </row>
    <row r="92" spans="1:26" s="24" customFormat="1" hidden="1" outlineLevel="2" x14ac:dyDescent="0.25">
      <c r="A92" s="28"/>
      <c r="B92" s="11" t="str">
        <f>CONCATENATE("          ", "6285", " - ", "JANITORIAL SERVICES")</f>
        <v xml:space="preserve">          6285 - JANITORIAL SERVICES</v>
      </c>
      <c r="C92" s="11"/>
      <c r="D92" s="6">
        <v>11530.59</v>
      </c>
      <c r="E92" s="2"/>
      <c r="F92" s="7">
        <f t="shared" si="53"/>
        <v>6.7073125685639279E-2</v>
      </c>
      <c r="G92" s="2"/>
      <c r="H92" s="6">
        <v>15366</v>
      </c>
      <c r="I92" s="2"/>
      <c r="J92" s="7">
        <f t="shared" si="54"/>
        <v>3.8343202353592898E-2</v>
      </c>
      <c r="K92" s="2"/>
      <c r="L92" s="6">
        <f t="shared" si="55"/>
        <v>-3835.41</v>
      </c>
      <c r="M92" s="2"/>
      <c r="N92" s="7">
        <f t="shared" si="56"/>
        <v>-0.24960367044123388</v>
      </c>
      <c r="O92" s="11"/>
      <c r="P92" s="6">
        <v>50542.2</v>
      </c>
      <c r="Q92" s="2"/>
      <c r="R92" s="7">
        <f t="shared" si="57"/>
        <v>7.5048005840482282E-2</v>
      </c>
      <c r="S92" s="2"/>
      <c r="T92" s="6">
        <v>77130</v>
      </c>
      <c r="U92" s="2"/>
      <c r="V92" s="7">
        <f t="shared" si="58"/>
        <v>4.7826210971071127E-2</v>
      </c>
      <c r="W92" s="2"/>
      <c r="X92" s="6">
        <f t="shared" si="59"/>
        <v>-26587.800000000003</v>
      </c>
      <c r="Y92" s="2"/>
      <c r="Z92" s="7">
        <f t="shared" si="60"/>
        <v>-0.34471411901983667</v>
      </c>
    </row>
    <row r="93" spans="1:26" s="24" customFormat="1" hidden="1" outlineLevel="2" x14ac:dyDescent="0.25">
      <c r="A93" s="28"/>
      <c r="B93" s="11" t="str">
        <f>CONCATENATE("          ", "6286", " - ", "LAUNDRY EXPENSE")</f>
        <v xml:space="preserve">          6286 - LAUNDRY EXPENSE</v>
      </c>
      <c r="C93" s="11"/>
      <c r="D93" s="6">
        <v>769.68</v>
      </c>
      <c r="E93" s="2"/>
      <c r="F93" s="7">
        <f t="shared" si="53"/>
        <v>4.4772074436540401E-3</v>
      </c>
      <c r="G93" s="2"/>
      <c r="H93" s="6">
        <v>4500</v>
      </c>
      <c r="I93" s="2"/>
      <c r="J93" s="7">
        <f t="shared" si="54"/>
        <v>1.122897374665938E-2</v>
      </c>
      <c r="K93" s="2"/>
      <c r="L93" s="6">
        <f t="shared" si="55"/>
        <v>-3730.32</v>
      </c>
      <c r="M93" s="2"/>
      <c r="N93" s="7">
        <f t="shared" si="56"/>
        <v>-0.82896000000000003</v>
      </c>
      <c r="O93" s="11"/>
      <c r="P93" s="6">
        <v>8762.5499999999993</v>
      </c>
      <c r="Q93" s="2"/>
      <c r="R93" s="7">
        <f t="shared" si="57"/>
        <v>1.3011145212862084E-2</v>
      </c>
      <c r="S93" s="2"/>
      <c r="T93" s="6">
        <v>22500</v>
      </c>
      <c r="U93" s="2"/>
      <c r="V93" s="7">
        <f t="shared" si="58"/>
        <v>1.3951636806030083E-2</v>
      </c>
      <c r="W93" s="2"/>
      <c r="X93" s="6">
        <f t="shared" si="59"/>
        <v>-13737.45</v>
      </c>
      <c r="Y93" s="2"/>
      <c r="Z93" s="7">
        <f t="shared" si="60"/>
        <v>-0.61055333333333339</v>
      </c>
    </row>
    <row r="94" spans="1:26" s="29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SUM(OSRRefD22_18x_0)</f>
        <v>795</v>
      </c>
      <c r="E94" s="1"/>
      <c r="F94" s="5">
        <f t="shared" ref="F94:F96" si="61">IF(D$12=0,0,D94/D$12)</f>
        <v>4.6244931889940786E-3</v>
      </c>
      <c r="G94" s="1"/>
      <c r="H94" s="1">
        <f>SUM(OSRRefH22_18x_0)</f>
        <v>197</v>
      </c>
      <c r="I94" s="1"/>
      <c r="J94" s="5">
        <f t="shared" ref="J94:J96" si="62">IF(H$12=0,0,H94/H$12)</f>
        <v>4.9157951735375512E-4</v>
      </c>
      <c r="K94" s="1"/>
      <c r="L94" s="1">
        <f t="shared" ref="L94:L96" si="63">+D94-H94</f>
        <v>598</v>
      </c>
      <c r="M94" s="1"/>
      <c r="N94" s="5">
        <f t="shared" ref="N94:N96" si="64">IF(H94=0,0,L94/H94)</f>
        <v>3.0355329949238579</v>
      </c>
      <c r="O94" s="14"/>
      <c r="P94" s="1">
        <f>SUM(OSRRefP22_18x_0)</f>
        <v>1066.33</v>
      </c>
      <c r="Q94" s="1"/>
      <c r="R94" s="5">
        <f t="shared" ref="R94:R96" si="65">IF(P$12=0,0,P94/P$12)</f>
        <v>1.5833489651792259E-3</v>
      </c>
      <c r="S94" s="1"/>
      <c r="T94" s="1">
        <f>SUM(OSRRefT22_18x_0)</f>
        <v>985</v>
      </c>
      <c r="U94" s="1"/>
      <c r="V94" s="5">
        <f t="shared" ref="V94:V96" si="66">IF(T$12=0,0,T94/T$12)</f>
        <v>6.107716557306503E-4</v>
      </c>
      <c r="W94" s="1"/>
      <c r="X94" s="1">
        <f t="shared" ref="X94:X96" si="67">+P94-T94</f>
        <v>81.329999999999927</v>
      </c>
      <c r="Y94" s="1"/>
      <c r="Z94" s="5">
        <f t="shared" ref="Z94:Z96" si="68">IF(T94=0,0,X94/T94)</f>
        <v>8.2568527918781651E-2</v>
      </c>
    </row>
    <row r="95" spans="1:26" s="24" customFormat="1" hidden="1" outlineLevel="2" x14ac:dyDescent="0.25">
      <c r="A95" s="28"/>
      <c r="B95" s="11" t="str">
        <f>CONCATENATE("          ", "6258", " - ", "MEMBERSHIP DUES")</f>
        <v xml:space="preserve">          6258 - MEMBERSHIP DUES</v>
      </c>
      <c r="C95" s="11"/>
      <c r="D95" s="6">
        <v>795</v>
      </c>
      <c r="E95" s="2"/>
      <c r="F95" s="7">
        <f t="shared" si="61"/>
        <v>4.6244931889940786E-3</v>
      </c>
      <c r="G95" s="2"/>
      <c r="H95" s="6"/>
      <c r="I95" s="2"/>
      <c r="J95" s="7">
        <f t="shared" si="62"/>
        <v>0</v>
      </c>
      <c r="K95" s="2"/>
      <c r="L95" s="6">
        <f t="shared" si="63"/>
        <v>795</v>
      </c>
      <c r="M95" s="2"/>
      <c r="N95" s="7">
        <f t="shared" si="64"/>
        <v>0</v>
      </c>
      <c r="O95" s="11"/>
      <c r="P95" s="6">
        <v>795</v>
      </c>
      <c r="Q95" s="2"/>
      <c r="R95" s="7">
        <f t="shared" si="65"/>
        <v>1.1804623590422145E-3</v>
      </c>
      <c r="S95" s="2"/>
      <c r="T95" s="6"/>
      <c r="U95" s="2"/>
      <c r="V95" s="7">
        <f t="shared" si="66"/>
        <v>0</v>
      </c>
      <c r="W95" s="2"/>
      <c r="X95" s="6">
        <f t="shared" si="67"/>
        <v>795</v>
      </c>
      <c r="Y95" s="2"/>
      <c r="Z95" s="7">
        <f t="shared" si="68"/>
        <v>0</v>
      </c>
    </row>
    <row r="96" spans="1:26" s="24" customFormat="1" hidden="1" outlineLevel="2" x14ac:dyDescent="0.25">
      <c r="A96" s="28"/>
      <c r="B96" s="11" t="str">
        <f>CONCATENATE("          ", "6275", " - ", "SUBSCRIPTIONS")</f>
        <v xml:space="preserve">          6275 - SUBSCRIPTIONS</v>
      </c>
      <c r="C96" s="11"/>
      <c r="D96" s="6"/>
      <c r="E96" s="2"/>
      <c r="F96" s="7">
        <f t="shared" si="61"/>
        <v>0</v>
      </c>
      <c r="G96" s="2"/>
      <c r="H96" s="6">
        <v>197</v>
      </c>
      <c r="I96" s="2"/>
      <c r="J96" s="7">
        <f t="shared" si="62"/>
        <v>4.9157951735375512E-4</v>
      </c>
      <c r="K96" s="2"/>
      <c r="L96" s="6">
        <f t="shared" si="63"/>
        <v>-197</v>
      </c>
      <c r="M96" s="2"/>
      <c r="N96" s="7">
        <f t="shared" si="64"/>
        <v>-1</v>
      </c>
      <c r="O96" s="11"/>
      <c r="P96" s="6">
        <v>271.33</v>
      </c>
      <c r="Q96" s="2"/>
      <c r="R96" s="7">
        <f t="shared" si="65"/>
        <v>4.0288660613701144E-4</v>
      </c>
      <c r="S96" s="2"/>
      <c r="T96" s="6">
        <v>985</v>
      </c>
      <c r="U96" s="2"/>
      <c r="V96" s="7">
        <f t="shared" si="66"/>
        <v>6.107716557306503E-4</v>
      </c>
      <c r="W96" s="2"/>
      <c r="X96" s="6">
        <f t="shared" si="67"/>
        <v>-713.67000000000007</v>
      </c>
      <c r="Y96" s="2"/>
      <c r="Z96" s="7">
        <f t="shared" si="68"/>
        <v>-0.72453807106598989</v>
      </c>
    </row>
    <row r="97" spans="1:26" s="29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SUM(OSRRefD22_19x_0)</f>
        <v>21462.29</v>
      </c>
      <c r="E97" s="1"/>
      <c r="F97" s="5">
        <f t="shared" ref="F97:F108" si="69">IF(D$12=0,0,D97/D$12)</f>
        <v>0.12484555210718959</v>
      </c>
      <c r="G97" s="1"/>
      <c r="H97" s="1">
        <f>SUM(OSRRefH22_19x_0)</f>
        <v>27125</v>
      </c>
      <c r="I97" s="1"/>
      <c r="J97" s="5">
        <f t="shared" ref="J97:J108" si="70">IF(H$12=0,0,H97/H$12)</f>
        <v>6.768575841736349E-2</v>
      </c>
      <c r="K97" s="1"/>
      <c r="L97" s="1">
        <f t="shared" ref="L97:L108" si="71">+D97-H97</f>
        <v>-5662.7099999999991</v>
      </c>
      <c r="M97" s="1"/>
      <c r="N97" s="5">
        <f t="shared" ref="N97:N108" si="72">IF(H97=0,0,L97/H97)</f>
        <v>-0.20876350230414745</v>
      </c>
      <c r="O97" s="14"/>
      <c r="P97" s="1">
        <f>SUM(OSRRefP22_19x_0)</f>
        <v>54432.51999999999</v>
      </c>
      <c r="Q97" s="1"/>
      <c r="R97" s="5">
        <f t="shared" ref="R97:R108" si="73">IF(P$12=0,0,P97/P$12)</f>
        <v>8.0824579833726429E-2</v>
      </c>
      <c r="S97" s="1"/>
      <c r="T97" s="1">
        <f>SUM(OSRRefT22_19x_0)</f>
        <v>135490</v>
      </c>
      <c r="U97" s="1"/>
      <c r="V97" s="5">
        <f t="shared" ref="V97:V108" si="74">IF(T$12=0,0,T97/T$12)</f>
        <v>8.4013656482178484E-2</v>
      </c>
      <c r="W97" s="1"/>
      <c r="X97" s="1">
        <f t="shared" ref="X97:X108" si="75">+P97-T97</f>
        <v>-81057.48000000001</v>
      </c>
      <c r="Y97" s="1"/>
      <c r="Z97" s="5">
        <f t="shared" ref="Z97:Z108" si="76">IF(T97=0,0,X97/T97)</f>
        <v>-0.59825433611336643</v>
      </c>
    </row>
    <row r="98" spans="1:26" s="24" customFormat="1" hidden="1" outlineLevel="2" x14ac:dyDescent="0.25">
      <c r="A98" s="28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69"/>
        <v>0</v>
      </c>
      <c r="G98" s="2"/>
      <c r="H98" s="6">
        <v>168</v>
      </c>
      <c r="I98" s="2"/>
      <c r="J98" s="7">
        <f t="shared" si="70"/>
        <v>4.1921501987528351E-4</v>
      </c>
      <c r="K98" s="2"/>
      <c r="L98" s="6">
        <f t="shared" si="71"/>
        <v>-168</v>
      </c>
      <c r="M98" s="2"/>
      <c r="N98" s="7">
        <f t="shared" si="72"/>
        <v>-1</v>
      </c>
      <c r="O98" s="11"/>
      <c r="P98" s="6">
        <v>310.91000000000003</v>
      </c>
      <c r="Q98" s="2"/>
      <c r="R98" s="7">
        <f t="shared" si="73"/>
        <v>4.6165729817586792E-4</v>
      </c>
      <c r="S98" s="2"/>
      <c r="T98" s="6">
        <v>568</v>
      </c>
      <c r="U98" s="2"/>
      <c r="V98" s="7">
        <f t="shared" si="74"/>
        <v>3.5220132025889277E-4</v>
      </c>
      <c r="W98" s="2"/>
      <c r="X98" s="6">
        <f t="shared" si="75"/>
        <v>-257.08999999999997</v>
      </c>
      <c r="Y98" s="2"/>
      <c r="Z98" s="7">
        <f t="shared" si="76"/>
        <v>-0.4526232394366197</v>
      </c>
    </row>
    <row r="99" spans="1:26" s="24" customFormat="1" hidden="1" outlineLevel="2" x14ac:dyDescent="0.25">
      <c r="A99" s="28"/>
      <c r="B99" s="11" t="str">
        <f>CONCATENATE("          ", "6235", " - ", "COVID-19 EXPENSES")</f>
        <v xml:space="preserve">          6235 - COVID-19 EXPENSES</v>
      </c>
      <c r="C99" s="11"/>
      <c r="D99" s="6">
        <v>11925.52</v>
      </c>
      <c r="E99" s="2"/>
      <c r="F99" s="7">
        <f t="shared" si="69"/>
        <v>6.9370422660644859E-2</v>
      </c>
      <c r="G99" s="2"/>
      <c r="H99" s="6">
        <v>12200</v>
      </c>
      <c r="I99" s="2"/>
      <c r="J99" s="7">
        <f t="shared" si="70"/>
        <v>3.044299549094321E-2</v>
      </c>
      <c r="K99" s="2"/>
      <c r="L99" s="6">
        <f t="shared" si="71"/>
        <v>-274.47999999999956</v>
      </c>
      <c r="M99" s="2"/>
      <c r="N99" s="7">
        <f t="shared" si="72"/>
        <v>-2.2498360655737668E-2</v>
      </c>
      <c r="O99" s="11"/>
      <c r="P99" s="6">
        <v>49894.03</v>
      </c>
      <c r="Q99" s="2"/>
      <c r="R99" s="7">
        <f t="shared" si="73"/>
        <v>7.4085565227576131E-2</v>
      </c>
      <c r="S99" s="2"/>
      <c r="T99" s="6">
        <v>54000</v>
      </c>
      <c r="U99" s="2"/>
      <c r="V99" s="7">
        <f t="shared" si="74"/>
        <v>3.3483928334472203E-2</v>
      </c>
      <c r="W99" s="2"/>
      <c r="X99" s="6">
        <f t="shared" si="75"/>
        <v>-4105.9700000000012</v>
      </c>
      <c r="Y99" s="2"/>
      <c r="Z99" s="7">
        <f t="shared" si="76"/>
        <v>-7.6036481481481497E-2</v>
      </c>
    </row>
    <row r="100" spans="1:26" s="24" customFormat="1" hidden="1" outlineLevel="2" x14ac:dyDescent="0.25">
      <c r="A100" s="28"/>
      <c r="B100" s="11" t="str">
        <f>CONCATENATE("          ", "6237", " - ", "JANITORIAL SUPPLIES")</f>
        <v xml:space="preserve">          6237 - JANITORIAL SUPPLIES</v>
      </c>
      <c r="C100" s="11"/>
      <c r="D100" s="6">
        <v>462.1</v>
      </c>
      <c r="E100" s="2"/>
      <c r="F100" s="7">
        <f t="shared" si="69"/>
        <v>2.6880230221813378E-3</v>
      </c>
      <c r="G100" s="2"/>
      <c r="H100" s="6">
        <v>9890</v>
      </c>
      <c r="I100" s="2"/>
      <c r="J100" s="7">
        <f t="shared" si="70"/>
        <v>2.4678788967658061E-2</v>
      </c>
      <c r="K100" s="2"/>
      <c r="L100" s="6">
        <f t="shared" si="71"/>
        <v>-9427.9</v>
      </c>
      <c r="M100" s="2"/>
      <c r="N100" s="7">
        <f t="shared" si="72"/>
        <v>-0.95327603640040437</v>
      </c>
      <c r="O100" s="11"/>
      <c r="P100" s="6">
        <v>8622.31</v>
      </c>
      <c r="Q100" s="2"/>
      <c r="R100" s="7">
        <f t="shared" si="73"/>
        <v>1.2802908683010412E-2</v>
      </c>
      <c r="S100" s="2"/>
      <c r="T100" s="6">
        <v>44698</v>
      </c>
      <c r="U100" s="2"/>
      <c r="V100" s="7">
        <f t="shared" si="74"/>
        <v>2.7716011642485897E-2</v>
      </c>
      <c r="W100" s="2"/>
      <c r="X100" s="6">
        <f t="shared" si="75"/>
        <v>-36075.69</v>
      </c>
      <c r="Y100" s="2"/>
      <c r="Z100" s="7">
        <f t="shared" si="76"/>
        <v>-0.80709852789834002</v>
      </c>
    </row>
    <row r="101" spans="1:26" s="24" customFormat="1" hidden="1" outlineLevel="2" x14ac:dyDescent="0.25">
      <c r="A101" s="28"/>
      <c r="B101" s="11" t="str">
        <f>CONCATENATE("          ", "6239", " - ", "KITCHEN SUPPLIES")</f>
        <v xml:space="preserve">          6239 - KITCHEN SUPPLIES</v>
      </c>
      <c r="C101" s="11"/>
      <c r="D101" s="6">
        <v>1494.83</v>
      </c>
      <c r="E101" s="2"/>
      <c r="F101" s="7">
        <f t="shared" si="69"/>
        <v>8.695385098998764E-3</v>
      </c>
      <c r="G101" s="2"/>
      <c r="H101" s="6">
        <v>2340</v>
      </c>
      <c r="I101" s="2"/>
      <c r="J101" s="7">
        <f t="shared" si="70"/>
        <v>5.8390663482628781E-3</v>
      </c>
      <c r="K101" s="2"/>
      <c r="L101" s="6">
        <f t="shared" si="71"/>
        <v>-845.17000000000007</v>
      </c>
      <c r="M101" s="2"/>
      <c r="N101" s="7">
        <f t="shared" si="72"/>
        <v>-0.36118376068376074</v>
      </c>
      <c r="O101" s="11"/>
      <c r="P101" s="6">
        <v>5686.34</v>
      </c>
      <c r="Q101" s="2"/>
      <c r="R101" s="7">
        <f t="shared" si="73"/>
        <v>8.4434092210265502E-3</v>
      </c>
      <c r="S101" s="2"/>
      <c r="T101" s="6">
        <v>10932</v>
      </c>
      <c r="U101" s="2"/>
      <c r="V101" s="7">
        <f t="shared" si="74"/>
        <v>6.7786352694898166E-3</v>
      </c>
      <c r="W101" s="2"/>
      <c r="X101" s="6">
        <f t="shared" si="75"/>
        <v>-5245.66</v>
      </c>
      <c r="Y101" s="2"/>
      <c r="Z101" s="7">
        <f t="shared" si="76"/>
        <v>-0.4798444932308818</v>
      </c>
    </row>
    <row r="102" spans="1:26" s="24" customFormat="1" hidden="1" outlineLevel="2" x14ac:dyDescent="0.25">
      <c r="A102" s="28"/>
      <c r="B102" s="11" t="str">
        <f>CONCATENATE("          ", "6241", " - ", "OFFICE EXPENSE")</f>
        <v xml:space="preserve">          6241 - OFFICE EXPENSE</v>
      </c>
      <c r="C102" s="11"/>
      <c r="D102" s="6">
        <v>1207.05</v>
      </c>
      <c r="E102" s="2"/>
      <c r="F102" s="7">
        <f t="shared" si="69"/>
        <v>7.021376734308556E-3</v>
      </c>
      <c r="G102" s="2"/>
      <c r="H102" s="6">
        <v>1025</v>
      </c>
      <c r="I102" s="2"/>
      <c r="J102" s="7">
        <f t="shared" si="70"/>
        <v>2.5577106867390809E-3</v>
      </c>
      <c r="K102" s="2"/>
      <c r="L102" s="6">
        <f t="shared" si="71"/>
        <v>182.04999999999995</v>
      </c>
      <c r="M102" s="2"/>
      <c r="N102" s="7">
        <f t="shared" si="72"/>
        <v>0.17760975609756094</v>
      </c>
      <c r="O102" s="11"/>
      <c r="P102" s="6">
        <v>-26561.350000000002</v>
      </c>
      <c r="Q102" s="2"/>
      <c r="R102" s="7">
        <f t="shared" si="73"/>
        <v>-3.9439841358925698E-2</v>
      </c>
      <c r="S102" s="2"/>
      <c r="T102" s="6">
        <v>10137</v>
      </c>
      <c r="U102" s="2"/>
      <c r="V102" s="7">
        <f t="shared" si="74"/>
        <v>6.2856774356767533E-3</v>
      </c>
      <c r="W102" s="2"/>
      <c r="X102" s="6">
        <f t="shared" si="75"/>
        <v>-36698.350000000006</v>
      </c>
      <c r="Y102" s="2"/>
      <c r="Z102" s="7">
        <f t="shared" si="76"/>
        <v>-3.6202377429219696</v>
      </c>
    </row>
    <row r="103" spans="1:26" s="24" customFormat="1" hidden="1" outlineLevel="2" x14ac:dyDescent="0.25">
      <c r="A103" s="28"/>
      <c r="B103" s="11" t="str">
        <f>CONCATENATE("          ", "6243", " - ", "PAPER SUPPLIES")</f>
        <v xml:space="preserve">          6243 - PAPER SUPPLIES</v>
      </c>
      <c r="C103" s="11"/>
      <c r="D103" s="6">
        <v>5686.88</v>
      </c>
      <c r="E103" s="2"/>
      <c r="F103" s="7">
        <f t="shared" si="69"/>
        <v>3.3080424939153009E-2</v>
      </c>
      <c r="G103" s="2"/>
      <c r="H103" s="6">
        <v>734</v>
      </c>
      <c r="I103" s="2"/>
      <c r="J103" s="7">
        <f t="shared" si="70"/>
        <v>1.8315703844551078E-3</v>
      </c>
      <c r="K103" s="2"/>
      <c r="L103" s="6">
        <f t="shared" si="71"/>
        <v>4952.88</v>
      </c>
      <c r="M103" s="2"/>
      <c r="N103" s="7">
        <f t="shared" si="72"/>
        <v>6.7477929155313356</v>
      </c>
      <c r="O103" s="11"/>
      <c r="P103" s="6">
        <v>11979.69</v>
      </c>
      <c r="Q103" s="2"/>
      <c r="R103" s="7">
        <f t="shared" si="73"/>
        <v>1.7788142286785446E-2</v>
      </c>
      <c r="S103" s="2"/>
      <c r="T103" s="6">
        <v>5392</v>
      </c>
      <c r="U103" s="2"/>
      <c r="V103" s="7">
        <f t="shared" si="74"/>
        <v>3.3434322514717426E-3</v>
      </c>
      <c r="W103" s="2"/>
      <c r="X103" s="6">
        <f t="shared" si="75"/>
        <v>6587.6900000000005</v>
      </c>
      <c r="Y103" s="2"/>
      <c r="Z103" s="7">
        <f t="shared" si="76"/>
        <v>1.2217525964391693</v>
      </c>
    </row>
    <row r="104" spans="1:26" s="24" customFormat="1" hidden="1" outlineLevel="2" x14ac:dyDescent="0.25">
      <c r="A104" s="28"/>
      <c r="B104" s="11" t="str">
        <f>CONCATENATE("          ", "6244", " - ", "SAFETY SUPPLY EXPENSE")</f>
        <v xml:space="preserve">          6244 - SAFETY SUPPLY EXPENSE</v>
      </c>
      <c r="C104" s="11"/>
      <c r="D104" s="6"/>
      <c r="E104" s="2"/>
      <c r="F104" s="7">
        <f t="shared" si="69"/>
        <v>0</v>
      </c>
      <c r="G104" s="2"/>
      <c r="H104" s="6">
        <v>100</v>
      </c>
      <c r="I104" s="2"/>
      <c r="J104" s="7">
        <f t="shared" si="70"/>
        <v>2.4953274992576402E-4</v>
      </c>
      <c r="K104" s="2"/>
      <c r="L104" s="6">
        <f t="shared" si="71"/>
        <v>-100</v>
      </c>
      <c r="M104" s="2"/>
      <c r="N104" s="7">
        <f t="shared" si="72"/>
        <v>-1</v>
      </c>
      <c r="O104" s="11"/>
      <c r="P104" s="6"/>
      <c r="Q104" s="2"/>
      <c r="R104" s="7">
        <f t="shared" si="73"/>
        <v>0</v>
      </c>
      <c r="S104" s="2"/>
      <c r="T104" s="6">
        <v>680</v>
      </c>
      <c r="U104" s="2"/>
      <c r="V104" s="7">
        <f t="shared" si="74"/>
        <v>4.2164946791557588E-4</v>
      </c>
      <c r="W104" s="2"/>
      <c r="X104" s="6">
        <f t="shared" si="75"/>
        <v>-680</v>
      </c>
      <c r="Y104" s="2"/>
      <c r="Z104" s="7">
        <f t="shared" si="76"/>
        <v>-1</v>
      </c>
    </row>
    <row r="105" spans="1:26" s="24" customFormat="1" hidden="1" outlineLevel="2" x14ac:dyDescent="0.25">
      <c r="A105" s="28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69"/>
        <v>0</v>
      </c>
      <c r="G105" s="2"/>
      <c r="H105" s="6">
        <v>150</v>
      </c>
      <c r="I105" s="2"/>
      <c r="J105" s="7">
        <f t="shared" si="70"/>
        <v>3.74299124888646E-4</v>
      </c>
      <c r="K105" s="2"/>
      <c r="L105" s="6">
        <f t="shared" si="71"/>
        <v>-150</v>
      </c>
      <c r="M105" s="2"/>
      <c r="N105" s="7">
        <f t="shared" si="72"/>
        <v>-1</v>
      </c>
      <c r="O105" s="11"/>
      <c r="P105" s="6"/>
      <c r="Q105" s="2"/>
      <c r="R105" s="7">
        <f t="shared" si="73"/>
        <v>0</v>
      </c>
      <c r="S105" s="2"/>
      <c r="T105" s="6">
        <v>1750</v>
      </c>
      <c r="U105" s="2"/>
      <c r="V105" s="7">
        <f t="shared" si="74"/>
        <v>1.0851273071356732E-3</v>
      </c>
      <c r="W105" s="2"/>
      <c r="X105" s="6">
        <f t="shared" si="75"/>
        <v>-1750</v>
      </c>
      <c r="Y105" s="2"/>
      <c r="Z105" s="7">
        <f t="shared" si="76"/>
        <v>-1</v>
      </c>
    </row>
    <row r="106" spans="1:26" s="24" customFormat="1" hidden="1" outlineLevel="2" x14ac:dyDescent="0.25">
      <c r="A106" s="28"/>
      <c r="B106" s="11" t="str">
        <f>CONCATENATE("          ", "6246", " - ", "REPLACEMENTS")</f>
        <v xml:space="preserve">          6246 - REPLACEMENTS</v>
      </c>
      <c r="C106" s="11"/>
      <c r="D106" s="6"/>
      <c r="E106" s="2"/>
      <c r="F106" s="7">
        <f t="shared" si="69"/>
        <v>0</v>
      </c>
      <c r="G106" s="2"/>
      <c r="H106" s="6">
        <v>0</v>
      </c>
      <c r="I106" s="2"/>
      <c r="J106" s="7">
        <f t="shared" si="70"/>
        <v>0</v>
      </c>
      <c r="K106" s="2"/>
      <c r="L106" s="6">
        <f t="shared" si="71"/>
        <v>0</v>
      </c>
      <c r="M106" s="2"/>
      <c r="N106" s="7">
        <f t="shared" si="72"/>
        <v>0</v>
      </c>
      <c r="O106" s="11"/>
      <c r="P106" s="6"/>
      <c r="Q106" s="2"/>
      <c r="R106" s="7">
        <f t="shared" si="73"/>
        <v>0</v>
      </c>
      <c r="S106" s="2"/>
      <c r="T106" s="6">
        <v>0</v>
      </c>
      <c r="U106" s="2"/>
      <c r="V106" s="7">
        <f t="shared" si="74"/>
        <v>0</v>
      </c>
      <c r="W106" s="2"/>
      <c r="X106" s="6">
        <f t="shared" si="75"/>
        <v>0</v>
      </c>
      <c r="Y106" s="2"/>
      <c r="Z106" s="7">
        <f t="shared" si="76"/>
        <v>0</v>
      </c>
    </row>
    <row r="107" spans="1:26" s="24" customFormat="1" hidden="1" outlineLevel="2" x14ac:dyDescent="0.25">
      <c r="A107" s="28"/>
      <c r="B107" s="11" t="str">
        <f>CONCATENATE("          ", "6247", " - ", "STORE SUPPLIES")</f>
        <v xml:space="preserve">          6247 - STORE SUPPLIES</v>
      </c>
      <c r="C107" s="11"/>
      <c r="D107" s="6"/>
      <c r="E107" s="2"/>
      <c r="F107" s="7">
        <f t="shared" si="69"/>
        <v>0</v>
      </c>
      <c r="G107" s="2"/>
      <c r="H107" s="6">
        <v>18</v>
      </c>
      <c r="I107" s="2"/>
      <c r="J107" s="7">
        <f t="shared" si="70"/>
        <v>4.4915894986637521E-5</v>
      </c>
      <c r="K107" s="2"/>
      <c r="L107" s="6">
        <f t="shared" si="71"/>
        <v>-18</v>
      </c>
      <c r="M107" s="2"/>
      <c r="N107" s="7">
        <f t="shared" si="72"/>
        <v>-1</v>
      </c>
      <c r="O107" s="11"/>
      <c r="P107" s="6"/>
      <c r="Q107" s="2"/>
      <c r="R107" s="7">
        <f t="shared" si="73"/>
        <v>0</v>
      </c>
      <c r="S107" s="2"/>
      <c r="T107" s="6">
        <v>483</v>
      </c>
      <c r="U107" s="2"/>
      <c r="V107" s="7">
        <f t="shared" si="74"/>
        <v>2.994951367694458E-4</v>
      </c>
      <c r="W107" s="2"/>
      <c r="X107" s="6">
        <f t="shared" si="75"/>
        <v>-483</v>
      </c>
      <c r="Y107" s="2"/>
      <c r="Z107" s="7">
        <f t="shared" si="76"/>
        <v>-1</v>
      </c>
    </row>
    <row r="108" spans="1:26" s="24" customFormat="1" hidden="1" outlineLevel="2" x14ac:dyDescent="0.25">
      <c r="A108" s="28"/>
      <c r="B108" s="11" t="str">
        <f>CONCATENATE("          ", "6248", " - ", "UNIFORMS")</f>
        <v xml:space="preserve">          6248 - UNIFORMS</v>
      </c>
      <c r="C108" s="11"/>
      <c r="D108" s="6">
        <v>685.91</v>
      </c>
      <c r="E108" s="2"/>
      <c r="F108" s="7">
        <f t="shared" si="69"/>
        <v>3.9899196519030539E-3</v>
      </c>
      <c r="G108" s="2"/>
      <c r="H108" s="6">
        <v>500</v>
      </c>
      <c r="I108" s="2"/>
      <c r="J108" s="7">
        <f t="shared" si="70"/>
        <v>1.2476637496288199E-3</v>
      </c>
      <c r="K108" s="2"/>
      <c r="L108" s="6">
        <f t="shared" si="71"/>
        <v>185.90999999999997</v>
      </c>
      <c r="M108" s="2"/>
      <c r="N108" s="7">
        <f t="shared" si="72"/>
        <v>0.37181999999999993</v>
      </c>
      <c r="O108" s="11"/>
      <c r="P108" s="6">
        <v>4500.59</v>
      </c>
      <c r="Q108" s="2"/>
      <c r="R108" s="7">
        <f t="shared" si="73"/>
        <v>6.6827384760777368E-3</v>
      </c>
      <c r="S108" s="2"/>
      <c r="T108" s="6">
        <v>6850</v>
      </c>
      <c r="U108" s="2"/>
      <c r="V108" s="7">
        <f t="shared" si="74"/>
        <v>4.2474983165024923E-3</v>
      </c>
      <c r="W108" s="2"/>
      <c r="X108" s="6">
        <f t="shared" si="75"/>
        <v>-2349.41</v>
      </c>
      <c r="Y108" s="2"/>
      <c r="Z108" s="7">
        <f t="shared" si="76"/>
        <v>-0.34297956204379559</v>
      </c>
    </row>
    <row r="109" spans="1:26" s="29" customFormat="1" outlineLevel="1" collapsed="1" x14ac:dyDescent="0.25">
      <c r="A109" s="27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SUM(OSRRefD22_20x_0)</f>
        <v>1120.0999999999999</v>
      </c>
      <c r="E109" s="1"/>
      <c r="F109" s="5">
        <f t="shared" ref="F109:F111" si="77">IF(D$12=0,0,D109/D$12)</f>
        <v>6.5155909698015931E-3</v>
      </c>
      <c r="G109" s="1"/>
      <c r="H109" s="1">
        <f>SUM(OSRRefH22_20x_0)</f>
        <v>963</v>
      </c>
      <c r="I109" s="1"/>
      <c r="J109" s="5">
        <f t="shared" ref="J109:J111" si="78">IF(H$12=0,0,H109/H$12)</f>
        <v>2.4030003817851072E-3</v>
      </c>
      <c r="K109" s="1"/>
      <c r="L109" s="1">
        <f t="shared" ref="L109:L111" si="79">+D109-H109</f>
        <v>157.09999999999991</v>
      </c>
      <c r="M109" s="1"/>
      <c r="N109" s="5">
        <f t="shared" ref="N109:N111" si="80">IF(H109=0,0,L109/H109)</f>
        <v>0.16313603322949108</v>
      </c>
      <c r="O109" s="14"/>
      <c r="P109" s="1">
        <f>SUM(OSRRefP22_20x_0)</f>
        <v>7343.49</v>
      </c>
      <c r="Q109" s="1"/>
      <c r="R109" s="5">
        <f t="shared" ref="R109:R111" si="81">IF(P$12=0,0,P109/P$12)</f>
        <v>1.090404217484643E-2</v>
      </c>
      <c r="S109" s="1"/>
      <c r="T109" s="1">
        <f>SUM(OSRRefT22_20x_0)</f>
        <v>5293</v>
      </c>
      <c r="U109" s="1"/>
      <c r="V109" s="5">
        <f t="shared" ref="V109:V111" si="82">IF(T$12=0,0,T109/T$12)</f>
        <v>3.2820450495252102E-3</v>
      </c>
      <c r="W109" s="1"/>
      <c r="X109" s="1">
        <f t="shared" ref="X109:X111" si="83">+P109-T109</f>
        <v>2050.4899999999998</v>
      </c>
      <c r="Y109" s="1"/>
      <c r="Z109" s="5">
        <f t="shared" ref="Z109:Z111" si="84">IF(T109=0,0,X109/T109)</f>
        <v>0.38739656149631585</v>
      </c>
    </row>
    <row r="110" spans="1:26" s="24" customFormat="1" hidden="1" outlineLevel="2" x14ac:dyDescent="0.25">
      <c r="A110" s="28"/>
      <c r="B110" s="11" t="str">
        <f>CONCATENATE("          ", "6303", " - ", "DATA PHONE LINES")</f>
        <v xml:space="preserve">          6303 - DATA PHONE LINES</v>
      </c>
      <c r="C110" s="11"/>
      <c r="D110" s="6"/>
      <c r="E110" s="2"/>
      <c r="F110" s="7">
        <f t="shared" si="77"/>
        <v>0</v>
      </c>
      <c r="G110" s="2"/>
      <c r="H110" s="6">
        <v>638</v>
      </c>
      <c r="I110" s="2"/>
      <c r="J110" s="7">
        <f t="shared" si="78"/>
        <v>1.5920189445263744E-3</v>
      </c>
      <c r="K110" s="2"/>
      <c r="L110" s="6">
        <f t="shared" si="79"/>
        <v>-638</v>
      </c>
      <c r="M110" s="2"/>
      <c r="N110" s="7">
        <f t="shared" si="80"/>
        <v>-1</v>
      </c>
      <c r="O110" s="11"/>
      <c r="P110" s="6"/>
      <c r="Q110" s="2"/>
      <c r="R110" s="7">
        <f t="shared" si="81"/>
        <v>0</v>
      </c>
      <c r="S110" s="2"/>
      <c r="T110" s="6">
        <v>3218</v>
      </c>
      <c r="U110" s="2"/>
      <c r="V110" s="7">
        <f t="shared" si="82"/>
        <v>1.9953940996357694E-3</v>
      </c>
      <c r="W110" s="2"/>
      <c r="X110" s="6">
        <f t="shared" si="83"/>
        <v>-3218</v>
      </c>
      <c r="Y110" s="2"/>
      <c r="Z110" s="7">
        <f t="shared" si="84"/>
        <v>-1</v>
      </c>
    </row>
    <row r="111" spans="1:26" s="24" customFormat="1" hidden="1" outlineLevel="2" x14ac:dyDescent="0.25">
      <c r="A111" s="28"/>
      <c r="B111" s="11" t="str">
        <f>CONCATENATE("          ", "6309", " - ", "TELEPHONE")</f>
        <v xml:space="preserve">          6309 - TELEPHONE</v>
      </c>
      <c r="C111" s="11"/>
      <c r="D111" s="6">
        <v>1120.0999999999999</v>
      </c>
      <c r="E111" s="2"/>
      <c r="F111" s="7">
        <f t="shared" si="77"/>
        <v>6.5155909698015931E-3</v>
      </c>
      <c r="G111" s="2"/>
      <c r="H111" s="6">
        <v>325</v>
      </c>
      <c r="I111" s="2"/>
      <c r="J111" s="7">
        <f t="shared" si="78"/>
        <v>8.1098143725873303E-4</v>
      </c>
      <c r="K111" s="2"/>
      <c r="L111" s="6">
        <f t="shared" si="79"/>
        <v>795.09999999999991</v>
      </c>
      <c r="M111" s="2"/>
      <c r="N111" s="7">
        <f t="shared" si="80"/>
        <v>2.4464615384615382</v>
      </c>
      <c r="O111" s="11"/>
      <c r="P111" s="6">
        <v>7343.49</v>
      </c>
      <c r="Q111" s="2"/>
      <c r="R111" s="7">
        <f t="shared" si="81"/>
        <v>1.090404217484643E-2</v>
      </c>
      <c r="S111" s="2"/>
      <c r="T111" s="6">
        <v>2075</v>
      </c>
      <c r="U111" s="2"/>
      <c r="V111" s="7">
        <f t="shared" si="82"/>
        <v>1.2866509498894411E-3</v>
      </c>
      <c r="W111" s="2"/>
      <c r="X111" s="6">
        <f t="shared" si="83"/>
        <v>5268.49</v>
      </c>
      <c r="Y111" s="2"/>
      <c r="Z111" s="7">
        <f t="shared" si="84"/>
        <v>2.5390313253012047</v>
      </c>
    </row>
    <row r="112" spans="1:26" s="29" customFormat="1" outlineLevel="1" collapsed="1" x14ac:dyDescent="0.25">
      <c r="A112" s="27"/>
      <c r="B112" s="14" t="str">
        <f>CONCATENATE("     ","Training                                          ")</f>
        <v xml:space="preserve">     Training                                          </v>
      </c>
      <c r="C112" s="14"/>
      <c r="D112" s="1">
        <f>SUM(OSRRefD22_21x_0)</f>
        <v>400</v>
      </c>
      <c r="E112" s="1"/>
      <c r="F112" s="5">
        <f t="shared" ref="F112:F117" si="85">IF(D$12=0,0,D112/D$12)</f>
        <v>2.32678902590897E-3</v>
      </c>
      <c r="G112" s="1"/>
      <c r="H112" s="1">
        <f>SUM(OSRRefH22_21x_0)</f>
        <v>750</v>
      </c>
      <c r="I112" s="1"/>
      <c r="J112" s="5">
        <f t="shared" ref="J112:J117" si="86">IF(H$12=0,0,H112/H$12)</f>
        <v>1.8714956244432301E-3</v>
      </c>
      <c r="K112" s="1"/>
      <c r="L112" s="1">
        <f t="shared" ref="L112:L117" si="87">+D112-H112</f>
        <v>-350</v>
      </c>
      <c r="M112" s="1"/>
      <c r="N112" s="5">
        <f t="shared" ref="N112:N117" si="88">IF(H112=0,0,L112/H112)</f>
        <v>-0.46666666666666667</v>
      </c>
      <c r="O112" s="14"/>
      <c r="P112" s="1">
        <f>SUM(OSRRefP22_21x_0)</f>
        <v>1135</v>
      </c>
      <c r="Q112" s="1"/>
      <c r="R112" s="5">
        <f t="shared" ref="R112:R117" si="89">IF(P$12=0,0,P112/P$12)</f>
        <v>1.6853141855508347E-3</v>
      </c>
      <c r="S112" s="1"/>
      <c r="T112" s="1">
        <f>SUM(OSRRefT22_21x_0)</f>
        <v>3400</v>
      </c>
      <c r="U112" s="1"/>
      <c r="V112" s="5">
        <f t="shared" ref="V112:V117" si="90">IF(T$12=0,0,T112/T$12)</f>
        <v>2.1082473395778794E-3</v>
      </c>
      <c r="W112" s="1"/>
      <c r="X112" s="1">
        <f t="shared" ref="X112:X117" si="91">+P112-T112</f>
        <v>-2265</v>
      </c>
      <c r="Y112" s="1"/>
      <c r="Z112" s="5">
        <f t="shared" ref="Z112:Z117" si="92">IF(T112=0,0,X112/T112)</f>
        <v>-0.66617647058823526</v>
      </c>
    </row>
    <row r="113" spans="1:26" s="24" customFormat="1" hidden="1" outlineLevel="2" x14ac:dyDescent="0.25">
      <c r="A113" s="28"/>
      <c r="B113" s="11" t="str">
        <f>CONCATENATE("          ", "6376", " - ", "TRAINING")</f>
        <v xml:space="preserve">          6376 - TRAINING</v>
      </c>
      <c r="C113" s="11"/>
      <c r="D113" s="6">
        <v>400</v>
      </c>
      <c r="E113" s="2"/>
      <c r="F113" s="7">
        <f t="shared" si="85"/>
        <v>2.32678902590897E-3</v>
      </c>
      <c r="G113" s="2"/>
      <c r="H113" s="6">
        <v>750</v>
      </c>
      <c r="I113" s="2"/>
      <c r="J113" s="7">
        <f t="shared" si="86"/>
        <v>1.8714956244432301E-3</v>
      </c>
      <c r="K113" s="2"/>
      <c r="L113" s="6">
        <f t="shared" si="87"/>
        <v>-350</v>
      </c>
      <c r="M113" s="2"/>
      <c r="N113" s="7">
        <f t="shared" si="88"/>
        <v>-0.46666666666666667</v>
      </c>
      <c r="O113" s="11"/>
      <c r="P113" s="6">
        <v>1135</v>
      </c>
      <c r="Q113" s="2"/>
      <c r="R113" s="7">
        <f t="shared" si="89"/>
        <v>1.6853141855508347E-3</v>
      </c>
      <c r="S113" s="2"/>
      <c r="T113" s="6">
        <v>3400</v>
      </c>
      <c r="U113" s="2"/>
      <c r="V113" s="7">
        <f t="shared" si="90"/>
        <v>2.1082473395778794E-3</v>
      </c>
      <c r="W113" s="2"/>
      <c r="X113" s="6">
        <f t="shared" si="91"/>
        <v>-2265</v>
      </c>
      <c r="Y113" s="2"/>
      <c r="Z113" s="7">
        <f t="shared" si="92"/>
        <v>-0.66617647058823526</v>
      </c>
    </row>
    <row r="114" spans="1:26" s="29" customFormat="1" outlineLevel="1" collapsed="1" x14ac:dyDescent="0.25">
      <c r="A114" s="27"/>
      <c r="B114" s="14" t="str">
        <f>CONCATENATE("     ","Travel                                            ")</f>
        <v xml:space="preserve">     Travel                                            </v>
      </c>
      <c r="C114" s="14"/>
      <c r="D114" s="1">
        <f>SUM(OSRRefD22_22x_0)</f>
        <v>0</v>
      </c>
      <c r="E114" s="1"/>
      <c r="F114" s="5">
        <f t="shared" si="85"/>
        <v>0</v>
      </c>
      <c r="G114" s="1"/>
      <c r="H114" s="1">
        <f>SUM(OSRRefH22_22x_0)</f>
        <v>300</v>
      </c>
      <c r="I114" s="1"/>
      <c r="J114" s="5">
        <f t="shared" si="86"/>
        <v>7.4859824977729201E-4</v>
      </c>
      <c r="K114" s="1"/>
      <c r="L114" s="1">
        <f t="shared" si="87"/>
        <v>-300</v>
      </c>
      <c r="M114" s="1"/>
      <c r="N114" s="5">
        <f t="shared" si="88"/>
        <v>-1</v>
      </c>
      <c r="O114" s="14"/>
      <c r="P114" s="1">
        <f>SUM(OSRRefP22_22x_0)</f>
        <v>332.21</v>
      </c>
      <c r="Q114" s="1"/>
      <c r="R114" s="5">
        <f t="shared" si="89"/>
        <v>4.932847802483196E-4</v>
      </c>
      <c r="S114" s="1"/>
      <c r="T114" s="1">
        <f>SUM(OSRRefT22_22x_0)</f>
        <v>1500</v>
      </c>
      <c r="U114" s="1"/>
      <c r="V114" s="5">
        <f t="shared" si="90"/>
        <v>9.3010912040200557E-4</v>
      </c>
      <c r="W114" s="1"/>
      <c r="X114" s="1">
        <f t="shared" si="91"/>
        <v>-1167.79</v>
      </c>
      <c r="Y114" s="1"/>
      <c r="Z114" s="5">
        <f t="shared" si="92"/>
        <v>-0.77852666666666659</v>
      </c>
    </row>
    <row r="115" spans="1:26" s="24" customFormat="1" hidden="1" outlineLevel="2" x14ac:dyDescent="0.25">
      <c r="A115" s="28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85"/>
        <v>0</v>
      </c>
      <c r="G115" s="2"/>
      <c r="H115" s="6">
        <v>300</v>
      </c>
      <c r="I115" s="2"/>
      <c r="J115" s="7">
        <f t="shared" si="86"/>
        <v>7.4859824977729201E-4</v>
      </c>
      <c r="K115" s="2"/>
      <c r="L115" s="6">
        <f t="shared" si="87"/>
        <v>-300</v>
      </c>
      <c r="M115" s="2"/>
      <c r="N115" s="7">
        <f t="shared" si="88"/>
        <v>-1</v>
      </c>
      <c r="O115" s="11"/>
      <c r="P115" s="6"/>
      <c r="Q115" s="2"/>
      <c r="R115" s="7">
        <f t="shared" si="89"/>
        <v>0</v>
      </c>
      <c r="S115" s="2"/>
      <c r="T115" s="6">
        <v>1500</v>
      </c>
      <c r="U115" s="2"/>
      <c r="V115" s="7">
        <f t="shared" si="90"/>
        <v>9.3010912040200557E-4</v>
      </c>
      <c r="W115" s="2"/>
      <c r="X115" s="6">
        <f t="shared" si="91"/>
        <v>-1500</v>
      </c>
      <c r="Y115" s="2"/>
      <c r="Z115" s="7">
        <f t="shared" si="92"/>
        <v>-1</v>
      </c>
    </row>
    <row r="116" spans="1:26" s="24" customFormat="1" hidden="1" outlineLevel="2" x14ac:dyDescent="0.25">
      <c r="A116" s="28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85"/>
        <v>0</v>
      </c>
      <c r="G116" s="2"/>
      <c r="H116" s="6"/>
      <c r="I116" s="2"/>
      <c r="J116" s="7">
        <f t="shared" si="86"/>
        <v>0</v>
      </c>
      <c r="K116" s="2"/>
      <c r="L116" s="6">
        <f t="shared" si="87"/>
        <v>0</v>
      </c>
      <c r="M116" s="2"/>
      <c r="N116" s="7">
        <f t="shared" si="88"/>
        <v>0</v>
      </c>
      <c r="O116" s="11"/>
      <c r="P116" s="6"/>
      <c r="Q116" s="2"/>
      <c r="R116" s="7">
        <f t="shared" si="89"/>
        <v>0</v>
      </c>
      <c r="S116" s="2"/>
      <c r="T116" s="6">
        <v>0</v>
      </c>
      <c r="U116" s="2"/>
      <c r="V116" s="7">
        <f t="shared" si="90"/>
        <v>0</v>
      </c>
      <c r="W116" s="2"/>
      <c r="X116" s="6">
        <f t="shared" si="91"/>
        <v>0</v>
      </c>
      <c r="Y116" s="2"/>
      <c r="Z116" s="7">
        <f t="shared" si="92"/>
        <v>0</v>
      </c>
    </row>
    <row r="117" spans="1:26" s="24" customFormat="1" hidden="1" outlineLevel="2" x14ac:dyDescent="0.25">
      <c r="A117" s="28"/>
      <c r="B117" s="11" t="str">
        <f>CONCATENATE("          ", "6298", " - ", "VEHICLE MILEAGE")</f>
        <v xml:space="preserve">          6298 - VEHICLE MILEAGE</v>
      </c>
      <c r="C117" s="11"/>
      <c r="D117" s="6"/>
      <c r="E117" s="2"/>
      <c r="F117" s="7">
        <f t="shared" si="85"/>
        <v>0</v>
      </c>
      <c r="G117" s="2"/>
      <c r="H117" s="6"/>
      <c r="I117" s="2"/>
      <c r="J117" s="7">
        <f t="shared" si="86"/>
        <v>0</v>
      </c>
      <c r="K117" s="2"/>
      <c r="L117" s="6">
        <f t="shared" si="87"/>
        <v>0</v>
      </c>
      <c r="M117" s="2"/>
      <c r="N117" s="7">
        <f t="shared" si="88"/>
        <v>0</v>
      </c>
      <c r="O117" s="11"/>
      <c r="P117" s="6">
        <v>332.21</v>
      </c>
      <c r="Q117" s="2"/>
      <c r="R117" s="7">
        <f t="shared" si="89"/>
        <v>4.932847802483196E-4</v>
      </c>
      <c r="S117" s="2"/>
      <c r="T117" s="6"/>
      <c r="U117" s="2"/>
      <c r="V117" s="7">
        <f t="shared" si="90"/>
        <v>0</v>
      </c>
      <c r="W117" s="2"/>
      <c r="X117" s="6">
        <f t="shared" si="91"/>
        <v>332.21</v>
      </c>
      <c r="Y117" s="2"/>
      <c r="Z117" s="7">
        <f t="shared" si="92"/>
        <v>0</v>
      </c>
    </row>
    <row r="118" spans="1:26" s="29" customFormat="1" outlineLevel="1" collapsed="1" x14ac:dyDescent="0.25">
      <c r="A118" s="27"/>
      <c r="B118" s="14" t="str">
        <f>CONCATENATE("     ","Utilities                                         ")</f>
        <v xml:space="preserve">     Utilities                                         </v>
      </c>
      <c r="C118" s="14"/>
      <c r="D118" s="1">
        <f>SUM(OSRRefD22_23x_0)</f>
        <v>3660</v>
      </c>
      <c r="E118" s="1"/>
      <c r="F118" s="5">
        <f t="shared" ref="F118:F119" si="93">IF(D$12=0,0,D118/D$12)</f>
        <v>2.1290119587067079E-2</v>
      </c>
      <c r="G118" s="1"/>
      <c r="H118" s="1">
        <f>SUM(OSRRefH22_23x_0)</f>
        <v>3300</v>
      </c>
      <c r="I118" s="1"/>
      <c r="J118" s="5">
        <f t="shared" ref="J118:J119" si="94">IF(H$12=0,0,H118/H$12)</f>
        <v>8.2345807475502127E-3</v>
      </c>
      <c r="K118" s="1"/>
      <c r="L118" s="1">
        <f t="shared" ref="L118:L119" si="95">+D118-H118</f>
        <v>360</v>
      </c>
      <c r="M118" s="1"/>
      <c r="N118" s="5">
        <f t="shared" ref="N118:N119" si="96">IF(H118=0,0,L118/H118)</f>
        <v>0.10909090909090909</v>
      </c>
      <c r="O118" s="14"/>
      <c r="P118" s="1">
        <f>SUM(OSRRefP22_23x_0)</f>
        <v>-2668</v>
      </c>
      <c r="Q118" s="1"/>
      <c r="R118" s="5">
        <f t="shared" ref="R118:R119" si="97">IF(P$12=0,0,P118/P$12)</f>
        <v>-3.9616019797794073E-3</v>
      </c>
      <c r="S118" s="1"/>
      <c r="T118" s="1">
        <f>SUM(OSRRefT22_23x_0)</f>
        <v>16500</v>
      </c>
      <c r="U118" s="1"/>
      <c r="V118" s="5">
        <f t="shared" ref="V118:V119" si="98">IF(T$12=0,0,T118/T$12)</f>
        <v>1.0231200324422061E-2</v>
      </c>
      <c r="W118" s="1"/>
      <c r="X118" s="1">
        <f t="shared" ref="X118:X119" si="99">+P118-T118</f>
        <v>-19168</v>
      </c>
      <c r="Y118" s="1"/>
      <c r="Z118" s="5">
        <f t="shared" ref="Z118:Z119" si="100">IF(T118=0,0,X118/T118)</f>
        <v>-1.1616969696969697</v>
      </c>
    </row>
    <row r="119" spans="1:26" s="24" customFormat="1" hidden="1" outlineLevel="2" x14ac:dyDescent="0.25">
      <c r="A119" s="28"/>
      <c r="B119" s="11" t="str">
        <f>CONCATENATE("          ", "6274", " - ", "UTILITIES")</f>
        <v xml:space="preserve">          6274 - UTILITIES</v>
      </c>
      <c r="C119" s="11"/>
      <c r="D119" s="6">
        <v>3660</v>
      </c>
      <c r="E119" s="2"/>
      <c r="F119" s="7">
        <f t="shared" si="93"/>
        <v>2.1290119587067079E-2</v>
      </c>
      <c r="G119" s="2"/>
      <c r="H119" s="6">
        <v>3300</v>
      </c>
      <c r="I119" s="2"/>
      <c r="J119" s="7">
        <f t="shared" si="94"/>
        <v>8.2345807475502127E-3</v>
      </c>
      <c r="K119" s="2"/>
      <c r="L119" s="6">
        <f t="shared" si="95"/>
        <v>360</v>
      </c>
      <c r="M119" s="2"/>
      <c r="N119" s="7">
        <f t="shared" si="96"/>
        <v>0.10909090909090909</v>
      </c>
      <c r="O119" s="11"/>
      <c r="P119" s="6">
        <v>-2668</v>
      </c>
      <c r="Q119" s="2"/>
      <c r="R119" s="7">
        <f t="shared" si="97"/>
        <v>-3.9616019797794073E-3</v>
      </c>
      <c r="S119" s="2"/>
      <c r="T119" s="6">
        <v>16500</v>
      </c>
      <c r="U119" s="2"/>
      <c r="V119" s="7">
        <f t="shared" si="98"/>
        <v>1.0231200324422061E-2</v>
      </c>
      <c r="W119" s="2"/>
      <c r="X119" s="6">
        <f t="shared" si="99"/>
        <v>-19168</v>
      </c>
      <c r="Y119" s="2"/>
      <c r="Z119" s="7">
        <f t="shared" si="100"/>
        <v>-1.1616969696969697</v>
      </c>
    </row>
    <row r="120" spans="1:26" s="62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6" t="s">
        <v>0</v>
      </c>
      <c r="C121" s="10"/>
      <c r="D121" s="4">
        <f>SUM(OSRRefD25x_0)</f>
        <v>173.47</v>
      </c>
      <c r="E121" s="4"/>
      <c r="F121" s="12">
        <f t="shared" ref="F121:F125" si="101">IF(D$12=0,0,D121/D$12)</f>
        <v>1.0090702308110727E-3</v>
      </c>
      <c r="G121" s="4"/>
      <c r="H121" s="4">
        <f>SUM(OSRRefH25x_0)</f>
        <v>6378</v>
      </c>
      <c r="I121" s="4"/>
      <c r="J121" s="12">
        <f t="shared" ref="J121:J125" si="102">IF(H$12=0,0,H121/H$12)</f>
        <v>1.5915198790265227E-2</v>
      </c>
      <c r="K121" s="4"/>
      <c r="L121" s="4">
        <f t="shared" ref="L121:L125" si="103">+D121-H121</f>
        <v>-6204.53</v>
      </c>
      <c r="M121" s="4"/>
      <c r="N121" s="12">
        <f t="shared" ref="N121:N125" si="104">IF(H121=0,0,L121/H121)</f>
        <v>-0.97280181875195981</v>
      </c>
      <c r="O121" s="10"/>
      <c r="P121" s="4">
        <f>SUM(OSRRefP25x_0)</f>
        <v>4250.67</v>
      </c>
      <c r="Q121" s="4"/>
      <c r="R121" s="12">
        <f t="shared" ref="R121:R125" si="105">IF(P$12=0,0,P121/P$12)</f>
        <v>6.3116426864276362E-3</v>
      </c>
      <c r="S121" s="4"/>
      <c r="T121" s="4">
        <f>SUM(OSRRefT25x_0)</f>
        <v>19350</v>
      </c>
      <c r="U121" s="4"/>
      <c r="V121" s="12">
        <f t="shared" ref="V121:V125" si="106">IF(T$12=0,0,T121/T$12)</f>
        <v>1.1998407653185873E-2</v>
      </c>
      <c r="W121" s="4"/>
      <c r="X121" s="4">
        <f t="shared" ref="X121:X125" si="107">+P121-T121</f>
        <v>-15099.33</v>
      </c>
      <c r="Y121" s="4"/>
      <c r="Z121" s="12">
        <f t="shared" ref="Z121:Z125" si="108">IF(T121=0,0,X121/T121)</f>
        <v>-0.78032713178294577</v>
      </c>
    </row>
    <row r="122" spans="1:26" s="24" customFormat="1" hidden="1" outlineLevel="1" x14ac:dyDescent="0.25">
      <c r="A122" s="51"/>
      <c r="B122" s="11" t="str">
        <f>CONCATENATE("          ", "9150", " - ", "MISC. INCOME")</f>
        <v xml:space="preserve">          9150 - MISC. INCOME</v>
      </c>
      <c r="C122" s="11"/>
      <c r="D122" s="2">
        <f t="shared" ref="D122:D124" si="109">0</f>
        <v>0</v>
      </c>
      <c r="E122" s="2"/>
      <c r="F122" s="22">
        <f t="shared" si="101"/>
        <v>0</v>
      </c>
      <c r="G122" s="2"/>
      <c r="H122" s="2">
        <v>3780</v>
      </c>
      <c r="I122" s="2"/>
      <c r="J122" s="22">
        <f t="shared" si="102"/>
        <v>9.4323379471938796E-3</v>
      </c>
      <c r="K122" s="2"/>
      <c r="L122" s="2">
        <f t="shared" si="103"/>
        <v>-3780</v>
      </c>
      <c r="M122" s="2"/>
      <c r="N122" s="22">
        <f t="shared" si="104"/>
        <v>-1</v>
      </c>
      <c r="O122" s="11"/>
      <c r="P122" s="2">
        <f>--923.77</f>
        <v>923.77</v>
      </c>
      <c r="Q122" s="2"/>
      <c r="R122" s="22">
        <f t="shared" si="105"/>
        <v>1.3716675640407881E-3</v>
      </c>
      <c r="S122" s="2"/>
      <c r="T122" s="2">
        <v>9186</v>
      </c>
      <c r="U122" s="2"/>
      <c r="V122" s="22">
        <f t="shared" si="106"/>
        <v>5.6959882533418821E-3</v>
      </c>
      <c r="W122" s="2"/>
      <c r="X122" s="2">
        <f t="shared" si="107"/>
        <v>-8262.23</v>
      </c>
      <c r="Y122" s="2"/>
      <c r="Z122" s="22">
        <f t="shared" si="108"/>
        <v>-0.89943718702373177</v>
      </c>
    </row>
    <row r="123" spans="1:26" s="24" customFormat="1" hidden="1" outlineLevel="1" x14ac:dyDescent="0.25">
      <c r="A123" s="51"/>
      <c r="B123" s="11" t="str">
        <f>CONCATENATE("          ", "9151", " - ", "MISC. INCOME")</f>
        <v xml:space="preserve">          9151 - MISC. INCOME</v>
      </c>
      <c r="C123" s="11"/>
      <c r="D123" s="2">
        <f t="shared" si="109"/>
        <v>0</v>
      </c>
      <c r="E123" s="2"/>
      <c r="F123" s="22">
        <f t="shared" si="101"/>
        <v>0</v>
      </c>
      <c r="G123" s="2"/>
      <c r="H123" s="2">
        <v>1408</v>
      </c>
      <c r="I123" s="2"/>
      <c r="J123" s="22">
        <f t="shared" si="102"/>
        <v>3.5134211189547571E-3</v>
      </c>
      <c r="K123" s="2"/>
      <c r="L123" s="2">
        <f t="shared" si="103"/>
        <v>-1408</v>
      </c>
      <c r="M123" s="2"/>
      <c r="N123" s="22">
        <f t="shared" si="104"/>
        <v>-1</v>
      </c>
      <c r="O123" s="11"/>
      <c r="P123" s="2">
        <f>0</f>
        <v>0</v>
      </c>
      <c r="Q123" s="2"/>
      <c r="R123" s="22">
        <f t="shared" si="105"/>
        <v>0</v>
      </c>
      <c r="S123" s="2"/>
      <c r="T123" s="2">
        <v>8418</v>
      </c>
      <c r="U123" s="2"/>
      <c r="V123" s="22">
        <f t="shared" si="106"/>
        <v>5.2197723836960551E-3</v>
      </c>
      <c r="W123" s="2"/>
      <c r="X123" s="2">
        <f t="shared" si="107"/>
        <v>-8418</v>
      </c>
      <c r="Y123" s="2"/>
      <c r="Z123" s="22">
        <f t="shared" si="108"/>
        <v>-1</v>
      </c>
    </row>
    <row r="124" spans="1:26" s="24" customFormat="1" hidden="1" outlineLevel="1" x14ac:dyDescent="0.25">
      <c r="A124" s="51"/>
      <c r="B124" s="11" t="str">
        <f>CONCATENATE("          ", "9160", " - ", "MISC. INCOME")</f>
        <v xml:space="preserve">          9160 - MISC. INCOME</v>
      </c>
      <c r="C124" s="11"/>
      <c r="D124" s="2">
        <f t="shared" si="109"/>
        <v>0</v>
      </c>
      <c r="E124" s="2"/>
      <c r="F124" s="22">
        <f t="shared" si="101"/>
        <v>0</v>
      </c>
      <c r="G124" s="2"/>
      <c r="H124" s="2">
        <v>1190</v>
      </c>
      <c r="I124" s="2"/>
      <c r="J124" s="22">
        <f t="shared" si="102"/>
        <v>2.9694397241165917E-3</v>
      </c>
      <c r="K124" s="2"/>
      <c r="L124" s="2">
        <f t="shared" si="103"/>
        <v>-1190</v>
      </c>
      <c r="M124" s="2"/>
      <c r="N124" s="22">
        <f t="shared" si="104"/>
        <v>-1</v>
      </c>
      <c r="O124" s="11"/>
      <c r="P124" s="2">
        <f>--2328.25</f>
        <v>2328.25</v>
      </c>
      <c r="Q124" s="2"/>
      <c r="R124" s="22">
        <f t="shared" si="105"/>
        <v>3.4571213678491019E-3</v>
      </c>
      <c r="S124" s="2"/>
      <c r="T124" s="2">
        <v>1746</v>
      </c>
      <c r="U124" s="2"/>
      <c r="V124" s="22">
        <f t="shared" si="106"/>
        <v>1.0826470161479345E-3</v>
      </c>
      <c r="W124" s="2"/>
      <c r="X124" s="2">
        <f t="shared" si="107"/>
        <v>582.25</v>
      </c>
      <c r="Y124" s="2"/>
      <c r="Z124" s="22">
        <f t="shared" si="108"/>
        <v>0.33347651775486825</v>
      </c>
    </row>
    <row r="125" spans="1:26" s="24" customFormat="1" hidden="1" outlineLevel="1" x14ac:dyDescent="0.25">
      <c r="A125" s="51"/>
      <c r="B125" s="11" t="str">
        <f>CONCATENATE("          ", "9165", " - ", "OTHER INCOME")</f>
        <v xml:space="preserve">          9165 - OTHER INCOME</v>
      </c>
      <c r="C125" s="11"/>
      <c r="D125" s="2">
        <f>--173.47</f>
        <v>173.47</v>
      </c>
      <c r="E125" s="2"/>
      <c r="F125" s="22">
        <f t="shared" si="101"/>
        <v>1.0090702308110727E-3</v>
      </c>
      <c r="G125" s="2"/>
      <c r="H125" s="2"/>
      <c r="I125" s="2"/>
      <c r="J125" s="22">
        <f t="shared" si="102"/>
        <v>0</v>
      </c>
      <c r="K125" s="2"/>
      <c r="L125" s="2">
        <f t="shared" si="103"/>
        <v>173.47</v>
      </c>
      <c r="M125" s="2"/>
      <c r="N125" s="22">
        <f t="shared" si="104"/>
        <v>0</v>
      </c>
      <c r="O125" s="11"/>
      <c r="P125" s="2">
        <f>--998.65</f>
        <v>998.65</v>
      </c>
      <c r="Q125" s="2"/>
      <c r="R125" s="22">
        <f t="shared" si="105"/>
        <v>1.4828537545377453E-3</v>
      </c>
      <c r="S125" s="2"/>
      <c r="T125" s="2"/>
      <c r="U125" s="2"/>
      <c r="V125" s="22">
        <f t="shared" si="106"/>
        <v>0</v>
      </c>
      <c r="W125" s="2"/>
      <c r="X125" s="2">
        <f t="shared" si="107"/>
        <v>998.65</v>
      </c>
      <c r="Y125" s="2"/>
      <c r="Z125" s="22">
        <f t="shared" si="108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3</v>
      </c>
      <c r="C127" s="25"/>
      <c r="D127" s="21">
        <f>+D27-D29+D121</f>
        <v>-225052.63</v>
      </c>
      <c r="E127" s="13"/>
      <c r="F127" s="20">
        <f>IF(D$12=0,0,D127/D$12)</f>
        <v>-1.3091249743398796</v>
      </c>
      <c r="G127" s="13"/>
      <c r="H127" s="21">
        <f>+H27-H29+H121</f>
        <v>-165215.01904999412</v>
      </c>
      <c r="I127" s="13"/>
      <c r="J127" s="20">
        <f>IF(H$12=0,0,H127/H$12)</f>
        <v>-0.41226558032582522</v>
      </c>
      <c r="K127" s="16"/>
      <c r="L127" s="21">
        <f>+D127-H127</f>
        <v>-59837.610950005881</v>
      </c>
      <c r="M127" s="16"/>
      <c r="N127" s="20">
        <f>IF(H127=0,0,L127/H127)</f>
        <v>0.3621802139664978</v>
      </c>
      <c r="O127" s="26"/>
      <c r="P127" s="21">
        <f>+P27-P29+P121</f>
        <v>-1267419.9400000002</v>
      </c>
      <c r="Q127" s="13"/>
      <c r="R127" s="20">
        <f>IF(P$12=0,0,P127/P$12)</f>
        <v>-1.8819390343013112</v>
      </c>
      <c r="S127" s="13"/>
      <c r="T127" s="21">
        <f>+T27-T29+T121</f>
        <v>-1118586.8876822526</v>
      </c>
      <c r="U127" s="13"/>
      <c r="V127" s="20">
        <f>IF(T$12=0,0,T127/T$12)</f>
        <v>-0.69360524413023794</v>
      </c>
      <c r="W127" s="16"/>
      <c r="X127" s="21">
        <f>+P127-T127</f>
        <v>-148833.05231774761</v>
      </c>
      <c r="Y127" s="16"/>
      <c r="Z127" s="20">
        <f>IF(T127=0,0,X127/T127)</f>
        <v>0.13305452974344659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-1633.85</v>
      </c>
      <c r="E129" s="4"/>
      <c r="F129" s="12">
        <f>IF(D$12=0,0,D129/D$12)</f>
        <v>-9.5040606249534275E-3</v>
      </c>
      <c r="G129" s="4"/>
      <c r="H129" s="4">
        <v>89204</v>
      </c>
      <c r="I129" s="4"/>
      <c r="J129" s="12">
        <f>IF(H$12=0,0,H129/H$12)</f>
        <v>0.22259319424377852</v>
      </c>
      <c r="K129" s="4"/>
      <c r="L129" s="4">
        <f>+D129-H129</f>
        <v>-90837.85</v>
      </c>
      <c r="M129" s="4"/>
      <c r="N129" s="12">
        <f>IF(H129=0,0,L129/H129)</f>
        <v>-1.0183158826958434</v>
      </c>
      <c r="O129" s="10"/>
      <c r="P129" s="4">
        <v>107013.59</v>
      </c>
      <c r="Q129" s="4"/>
      <c r="R129" s="12">
        <f>IF(P$12=0,0,P129/P$12)</f>
        <v>0.15890001874336648</v>
      </c>
      <c r="S129" s="4"/>
      <c r="T129" s="4">
        <v>287627</v>
      </c>
      <c r="U129" s="4"/>
      <c r="V129" s="12">
        <f>IF(T$12=0,0,T129/T$12)</f>
        <v>0.17834966398257843</v>
      </c>
      <c r="W129" s="4"/>
      <c r="X129" s="4">
        <f>+P129-T129</f>
        <v>-180613.41</v>
      </c>
      <c r="Y129" s="4"/>
      <c r="Z129" s="12">
        <f>IF(T129=0,0,X129/T129)</f>
        <v>-0.62794316945210293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4</v>
      </c>
      <c r="C131" s="25"/>
      <c r="D131" s="31">
        <f>+D127-D129</f>
        <v>-223418.78</v>
      </c>
      <c r="E131" s="13"/>
      <c r="F131" s="34">
        <f>IF(D$12=0,0,D131/D$12)</f>
        <v>-1.2996209137149262</v>
      </c>
      <c r="G131" s="13"/>
      <c r="H131" s="31">
        <f>+H127-H129</f>
        <v>-254419.01904999412</v>
      </c>
      <c r="I131" s="13"/>
      <c r="J131" s="34">
        <f>IF(H$12=0,0,H131/H$12)</f>
        <v>-0.63485877456960371</v>
      </c>
      <c r="K131" s="16"/>
      <c r="L131" s="31">
        <f>D131-H131</f>
        <v>31000.239049994125</v>
      </c>
      <c r="M131" s="16"/>
      <c r="N131" s="34">
        <f>IF(H131=0,0,L131/H131)</f>
        <v>-0.12184717622821462</v>
      </c>
      <c r="O131" s="26"/>
      <c r="P131" s="31">
        <f>+P127-P129</f>
        <v>-1374433.5300000003</v>
      </c>
      <c r="Q131" s="13"/>
      <c r="R131" s="34">
        <f>IF(P$12=0,0,P131/P$12)</f>
        <v>-2.0408390530446776</v>
      </c>
      <c r="S131" s="13"/>
      <c r="T131" s="31">
        <f>+T127-T129</f>
        <v>-1406213.8876822526</v>
      </c>
      <c r="U131" s="13"/>
      <c r="V131" s="34">
        <f>IF(T$12=0,0,T131/T$12)</f>
        <v>-0.8719549081128164</v>
      </c>
      <c r="W131" s="16"/>
      <c r="X131" s="31">
        <f>P131-T131</f>
        <v>31780.357682252303</v>
      </c>
      <c r="Y131" s="16"/>
      <c r="Z131" s="34">
        <f>IF(T131=0,0,X131/T131)</f>
        <v>-2.2599945826614804E-2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5</v>
      </c>
      <c r="C134" s="25"/>
      <c r="D134" s="33">
        <f>SUM(D131:D133)</f>
        <v>-223418.78</v>
      </c>
      <c r="E134" s="13"/>
      <c r="F134" s="30">
        <f>IF(D$12=0,0,D134/D$12)</f>
        <v>-1.2996209137149262</v>
      </c>
      <c r="G134" s="13"/>
      <c r="H134" s="33">
        <f>SUM(H131:H133)</f>
        <v>-254419.01904999412</v>
      </c>
      <c r="I134" s="13"/>
      <c r="J134" s="30">
        <f>IF(H$12=0,0,H134/H$12)</f>
        <v>-0.63485877456960371</v>
      </c>
      <c r="K134" s="16"/>
      <c r="L134" s="33">
        <f>+D134-H134</f>
        <v>31000.239049994125</v>
      </c>
      <c r="M134" s="16"/>
      <c r="N134" s="30">
        <f>IF(H134=0,0,L134/H134)</f>
        <v>-0.12184717622821462</v>
      </c>
      <c r="O134" s="26"/>
      <c r="P134" s="33">
        <f>SUM(P131:P133)</f>
        <v>-1374433.5300000003</v>
      </c>
      <c r="Q134" s="13"/>
      <c r="R134" s="30">
        <f>IF(P$12=0,0,P134/P$12)</f>
        <v>-2.0408390530446776</v>
      </c>
      <c r="S134" s="13"/>
      <c r="T134" s="33">
        <f>SUM(T131:T133)</f>
        <v>-1406213.8876822526</v>
      </c>
      <c r="U134" s="13"/>
      <c r="V134" s="30">
        <f>IF(T$12=0,0,T134/T$12)</f>
        <v>-0.8719549081128164</v>
      </c>
      <c r="W134" s="16"/>
      <c r="X134" s="33">
        <f>+P134-T134</f>
        <v>31780.357682252303</v>
      </c>
      <c r="Y134" s="16"/>
      <c r="Z134" s="30">
        <f>IF(T134=0,0,X134/T134)</f>
        <v>-2.2599945826614804E-2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5">
        <v>44174.679178622682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7" t="s">
        <v>314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63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313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64151.59</v>
      </c>
      <c r="E12" s="4"/>
      <c r="F12" s="12"/>
      <c r="G12" s="4"/>
      <c r="H12" s="4">
        <f>SUM(OSRRefH13x_0)</f>
        <v>54209</v>
      </c>
      <c r="I12" s="4"/>
      <c r="J12" s="12"/>
      <c r="K12" s="4"/>
      <c r="L12" s="4">
        <f t="shared" ref="L12:L21" si="0">+D12-H12</f>
        <v>9942.5899999999965</v>
      </c>
      <c r="M12" s="4"/>
      <c r="N12" s="12">
        <f t="shared" ref="N12:N21" si="1">IF(H12=0,0,L12/H12)</f>
        <v>0.18341216403180277</v>
      </c>
      <c r="O12" s="10"/>
      <c r="P12" s="4">
        <f>SUM(OSRRefP13x_0)</f>
        <v>124630.46000000002</v>
      </c>
      <c r="Q12" s="4"/>
      <c r="R12" s="12"/>
      <c r="S12" s="4"/>
      <c r="T12" s="4">
        <f>SUM(OSRRefT13x_0)</f>
        <v>238247</v>
      </c>
      <c r="U12" s="4"/>
      <c r="V12" s="12"/>
      <c r="W12" s="4"/>
      <c r="X12" s="4">
        <f t="shared" ref="X12:X21" si="2">+P12-T12</f>
        <v>-113616.53999999998</v>
      </c>
      <c r="Y12" s="4"/>
      <c r="Z12" s="12">
        <f t="shared" ref="Z12:Z21" si="3">IF(T12=0,0,X12/T12)</f>
        <v>-0.47688550118154677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8308</v>
      </c>
      <c r="I13" s="2"/>
      <c r="J13" s="22"/>
      <c r="K13" s="2"/>
      <c r="L13" s="2">
        <f t="shared" si="0"/>
        <v>-8308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37636</v>
      </c>
      <c r="U13" s="2"/>
      <c r="V13" s="22"/>
      <c r="W13" s="2"/>
      <c r="X13" s="2">
        <f t="shared" si="2"/>
        <v>-37636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>--4501.27</f>
        <v>4501.2700000000004</v>
      </c>
      <c r="E15" s="2"/>
      <c r="F15" s="22"/>
      <c r="G15" s="2"/>
      <c r="H15" s="2"/>
      <c r="I15" s="2"/>
      <c r="J15" s="22"/>
      <c r="K15" s="2"/>
      <c r="L15" s="2">
        <f t="shared" si="0"/>
        <v>4501.2700000000004</v>
      </c>
      <c r="M15" s="2"/>
      <c r="N15" s="22">
        <f t="shared" si="1"/>
        <v>0</v>
      </c>
      <c r="O15" s="11"/>
      <c r="P15" s="2">
        <f>--17251.21</f>
        <v>17251.21</v>
      </c>
      <c r="Q15" s="2"/>
      <c r="R15" s="22"/>
      <c r="S15" s="2"/>
      <c r="T15" s="2"/>
      <c r="U15" s="2"/>
      <c r="V15" s="22"/>
      <c r="W15" s="2"/>
      <c r="X15" s="2">
        <f t="shared" si="2"/>
        <v>17251.21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"4052", " - ", "TAXABLE SALES-FOOD")</f>
        <v xml:space="preserve">          4052 - TAXABLE SALES-FOOD</v>
      </c>
      <c r="C16" s="11"/>
      <c r="D16" s="2">
        <f>--55493.87</f>
        <v>55493.87</v>
      </c>
      <c r="E16" s="2"/>
      <c r="F16" s="22"/>
      <c r="G16" s="2"/>
      <c r="H16" s="2"/>
      <c r="I16" s="2"/>
      <c r="J16" s="22"/>
      <c r="K16" s="2"/>
      <c r="L16" s="2">
        <f t="shared" si="0"/>
        <v>55493.87</v>
      </c>
      <c r="M16" s="2"/>
      <c r="N16" s="22">
        <f t="shared" si="1"/>
        <v>0</v>
      </c>
      <c r="O16" s="11"/>
      <c r="P16" s="2">
        <f>--85725.16</f>
        <v>85725.16</v>
      </c>
      <c r="Q16" s="2"/>
      <c r="R16" s="22"/>
      <c r="S16" s="2"/>
      <c r="T16" s="2"/>
      <c r="U16" s="2"/>
      <c r="V16" s="22"/>
      <c r="W16" s="2"/>
      <c r="X16" s="2">
        <f t="shared" si="2"/>
        <v>85725.16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9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45901</v>
      </c>
      <c r="I18" s="2"/>
      <c r="J18" s="22"/>
      <c r="K18" s="2"/>
      <c r="L18" s="2">
        <f t="shared" si="0"/>
        <v>-45901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200611</v>
      </c>
      <c r="U18" s="2"/>
      <c r="V18" s="22"/>
      <c r="W18" s="2"/>
      <c r="X18" s="2">
        <f t="shared" si="2"/>
        <v>-200611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--2031.88</f>
        <v>2031.88</v>
      </c>
      <c r="Q19" s="2"/>
      <c r="R19" s="22"/>
      <c r="S19" s="2"/>
      <c r="T19" s="2"/>
      <c r="U19" s="2"/>
      <c r="V19" s="22"/>
      <c r="W19" s="2"/>
      <c r="X19" s="2">
        <f t="shared" si="2"/>
        <v>2031.88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>--4156.45</f>
        <v>4156.45</v>
      </c>
      <c r="E20" s="2"/>
      <c r="F20" s="22"/>
      <c r="G20" s="2"/>
      <c r="H20" s="2"/>
      <c r="I20" s="2"/>
      <c r="J20" s="22"/>
      <c r="K20" s="2"/>
      <c r="L20" s="2">
        <f t="shared" si="0"/>
        <v>4156.45</v>
      </c>
      <c r="M20" s="2"/>
      <c r="N20" s="22">
        <f t="shared" si="1"/>
        <v>0</v>
      </c>
      <c r="O20" s="11"/>
      <c r="P20" s="2">
        <f>--18092.71</f>
        <v>18092.71</v>
      </c>
      <c r="Q20" s="2"/>
      <c r="R20" s="22"/>
      <c r="S20" s="2"/>
      <c r="T20" s="2"/>
      <c r="U20" s="2"/>
      <c r="V20" s="22"/>
      <c r="W20" s="2"/>
      <c r="X20" s="2">
        <f t="shared" si="2"/>
        <v>18092.71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--110</f>
        <v>110</v>
      </c>
      <c r="Q21" s="2"/>
      <c r="R21" s="22"/>
      <c r="S21" s="2"/>
      <c r="T21" s="2"/>
      <c r="U21" s="2"/>
      <c r="V21" s="22"/>
      <c r="W21" s="2"/>
      <c r="X21" s="2">
        <f t="shared" si="2"/>
        <v>110</v>
      </c>
      <c r="Y21" s="2"/>
      <c r="Z21" s="22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2843.9300000000003</v>
      </c>
      <c r="E23" s="4"/>
      <c r="F23" s="12">
        <f t="shared" ref="F23:F26" si="6">IF(D$12=0,0,D23/D$12)</f>
        <v>4.4331403165533391E-2</v>
      </c>
      <c r="G23" s="4"/>
      <c r="H23" s="4">
        <f>SUM(OSRRefH16x_0)</f>
        <v>22028</v>
      </c>
      <c r="I23" s="4"/>
      <c r="J23" s="12">
        <f t="shared" ref="J23:J26" si="7">IF(H$12=0,0,H23/H$12)</f>
        <v>0.40635318858492131</v>
      </c>
      <c r="K23" s="4"/>
      <c r="L23" s="4">
        <f t="shared" ref="L23:L26" si="8">+D23-H23</f>
        <v>-19184.07</v>
      </c>
      <c r="M23" s="4"/>
      <c r="N23" s="12">
        <f t="shared" ref="N23:N26" si="9">IF(H23=0,0,L23/H23)</f>
        <v>-0.87089477029235518</v>
      </c>
      <c r="O23" s="10"/>
      <c r="P23" s="4">
        <f>SUM(OSRRefP16x_0)</f>
        <v>23498.739999999998</v>
      </c>
      <c r="Q23" s="4"/>
      <c r="R23" s="12">
        <f t="shared" ref="R23:R26" si="10">IF(P$12=0,0,P23/P$12)</f>
        <v>0.18854732623148462</v>
      </c>
      <c r="S23" s="4"/>
      <c r="T23" s="4">
        <f>SUM(OSRRefT16x_0)</f>
        <v>93120</v>
      </c>
      <c r="U23" s="4"/>
      <c r="V23" s="12">
        <f t="shared" ref="V23:V26" si="11">IF(T$12=0,0,T23/T$12)</f>
        <v>0.39085486910643158</v>
      </c>
      <c r="W23" s="4"/>
      <c r="X23" s="4">
        <f t="shared" ref="X23:X26" si="12">+P23-T23</f>
        <v>-69621.260000000009</v>
      </c>
      <c r="Y23" s="4"/>
      <c r="Z23" s="12">
        <f t="shared" ref="Z23:Z26" si="13">IF(T23=0,0,X23/T23)</f>
        <v>-0.74765098797250873</v>
      </c>
    </row>
    <row r="24" spans="1:26" s="24" customFormat="1" hidden="1" outlineLevel="1" x14ac:dyDescent="0.25">
      <c r="A24" s="51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22">
        <f t="shared" si="6"/>
        <v>0</v>
      </c>
      <c r="G24" s="2"/>
      <c r="H24" s="2">
        <v>22028</v>
      </c>
      <c r="I24" s="2"/>
      <c r="J24" s="22">
        <f t="shared" si="7"/>
        <v>0.40635318858492131</v>
      </c>
      <c r="K24" s="2"/>
      <c r="L24" s="2">
        <f t="shared" si="8"/>
        <v>-22028</v>
      </c>
      <c r="M24" s="2"/>
      <c r="N24" s="22">
        <f t="shared" si="9"/>
        <v>-1</v>
      </c>
      <c r="O24" s="11"/>
      <c r="P24" s="2"/>
      <c r="Q24" s="2"/>
      <c r="R24" s="22">
        <f t="shared" si="10"/>
        <v>0</v>
      </c>
      <c r="S24" s="2"/>
      <c r="T24" s="2">
        <v>93120</v>
      </c>
      <c r="U24" s="2"/>
      <c r="V24" s="22">
        <f t="shared" si="11"/>
        <v>0.39085486910643158</v>
      </c>
      <c r="W24" s="2"/>
      <c r="X24" s="2">
        <f t="shared" si="12"/>
        <v>-93120</v>
      </c>
      <c r="Y24" s="2"/>
      <c r="Z24" s="22">
        <f t="shared" si="13"/>
        <v>-1</v>
      </c>
    </row>
    <row r="25" spans="1:26" s="24" customFormat="1" hidden="1" outlineLevel="1" x14ac:dyDescent="0.25">
      <c r="A25" s="51"/>
      <c r="B25" s="11" t="str">
        <f>CONCATENATE("          ", "5053", " - ", "PURCHASES @ COST-FOOD")</f>
        <v xml:space="preserve">          5053 - PURCHASES @ COST-FOOD</v>
      </c>
      <c r="C25" s="11"/>
      <c r="D25" s="2">
        <v>1847.93</v>
      </c>
      <c r="E25" s="2"/>
      <c r="F25" s="22">
        <f t="shared" si="6"/>
        <v>2.8805677302776129E-2</v>
      </c>
      <c r="G25" s="2"/>
      <c r="H25" s="2"/>
      <c r="I25" s="2"/>
      <c r="J25" s="22">
        <f t="shared" si="7"/>
        <v>0</v>
      </c>
      <c r="K25" s="2"/>
      <c r="L25" s="2">
        <f t="shared" si="8"/>
        <v>1847.93</v>
      </c>
      <c r="M25" s="2"/>
      <c r="N25" s="22">
        <f t="shared" si="9"/>
        <v>0</v>
      </c>
      <c r="O25" s="11"/>
      <c r="P25" s="2">
        <v>8621.77</v>
      </c>
      <c r="Q25" s="2"/>
      <c r="R25" s="22">
        <f t="shared" si="10"/>
        <v>6.917867429840184E-2</v>
      </c>
      <c r="S25" s="2"/>
      <c r="T25" s="2"/>
      <c r="U25" s="2"/>
      <c r="V25" s="22">
        <f t="shared" si="11"/>
        <v>0</v>
      </c>
      <c r="W25" s="2"/>
      <c r="X25" s="2">
        <f t="shared" si="12"/>
        <v>8621.77</v>
      </c>
      <c r="Y25" s="2"/>
      <c r="Z25" s="22">
        <f t="shared" si="13"/>
        <v>0</v>
      </c>
    </row>
    <row r="26" spans="1:26" s="24" customFormat="1" hidden="1" outlineLevel="1" x14ac:dyDescent="0.25">
      <c r="A26" s="51"/>
      <c r="B26" s="11" t="str">
        <f>CONCATENATE("          ", "5059", " - ", "PURCHASES @ COST-FOOD")</f>
        <v xml:space="preserve">          5059 - PURCHASES @ COST-FOOD</v>
      </c>
      <c r="C26" s="11"/>
      <c r="D26" s="2">
        <v>996</v>
      </c>
      <c r="E26" s="2"/>
      <c r="F26" s="22">
        <f t="shared" si="6"/>
        <v>1.552572586275726E-2</v>
      </c>
      <c r="G26" s="2"/>
      <c r="H26" s="2"/>
      <c r="I26" s="2"/>
      <c r="J26" s="22">
        <f t="shared" si="7"/>
        <v>0</v>
      </c>
      <c r="K26" s="2"/>
      <c r="L26" s="2">
        <f t="shared" si="8"/>
        <v>996</v>
      </c>
      <c r="M26" s="2"/>
      <c r="N26" s="22">
        <f t="shared" si="9"/>
        <v>0</v>
      </c>
      <c r="O26" s="11"/>
      <c r="P26" s="2">
        <v>14876.969999999998</v>
      </c>
      <c r="Q26" s="2"/>
      <c r="R26" s="22">
        <f t="shared" si="10"/>
        <v>0.11936865193308277</v>
      </c>
      <c r="S26" s="2"/>
      <c r="T26" s="2"/>
      <c r="U26" s="2"/>
      <c r="V26" s="22">
        <f t="shared" si="11"/>
        <v>0</v>
      </c>
      <c r="W26" s="2"/>
      <c r="X26" s="2">
        <f t="shared" si="12"/>
        <v>14876.969999999998</v>
      </c>
      <c r="Y26" s="2"/>
      <c r="Z26" s="22">
        <f t="shared" si="13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1">
        <f>D12-D23</f>
        <v>61307.659999999996</v>
      </c>
      <c r="E28" s="13"/>
      <c r="F28" s="20">
        <f>IF(D$12=0,0,D28/D$12)</f>
        <v>0.95566859683446659</v>
      </c>
      <c r="G28" s="13"/>
      <c r="H28" s="21">
        <f>H12-H23</f>
        <v>32181</v>
      </c>
      <c r="I28" s="13"/>
      <c r="J28" s="20">
        <f>IF(H$12=0,0,H28/H$12)</f>
        <v>0.59364681141507869</v>
      </c>
      <c r="K28" s="16"/>
      <c r="L28" s="21">
        <f>+D28-H28</f>
        <v>29126.659999999996</v>
      </c>
      <c r="M28" s="16"/>
      <c r="N28" s="20">
        <f>IF(H28=0,0,L28/H28)</f>
        <v>0.90508871694478099</v>
      </c>
      <c r="O28" s="26"/>
      <c r="P28" s="21">
        <f>P12-P23</f>
        <v>101131.72000000003</v>
      </c>
      <c r="Q28" s="13"/>
      <c r="R28" s="20">
        <f>IF(P$12=0,0,P28/P$12)</f>
        <v>0.81145267376851549</v>
      </c>
      <c r="S28" s="13"/>
      <c r="T28" s="21">
        <f>T12-T23</f>
        <v>145127</v>
      </c>
      <c r="U28" s="13"/>
      <c r="V28" s="20">
        <f>IF(T$12=0,0,T28/T$12)</f>
        <v>0.60914513089356848</v>
      </c>
      <c r="W28" s="16"/>
      <c r="X28" s="21">
        <f>+P28-T28</f>
        <v>-43995.27999999997</v>
      </c>
      <c r="Y28" s="16"/>
      <c r="Z28" s="20">
        <f>IF(T28=0,0,X28/T28)</f>
        <v>-0.3031502063709714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19">
        <f>SUM(OSRRefD22x_0)</f>
        <v>137621.79</v>
      </c>
      <c r="E30" s="19"/>
      <c r="F30" s="35">
        <f t="shared" ref="F30:F40" si="14">IF(D$12=0,0,D30/D$12)</f>
        <v>2.145259221166615</v>
      </c>
      <c r="G30" s="19"/>
      <c r="H30" s="19">
        <f>SUM(OSRRefH22x_0)</f>
        <v>154383.86658231795</v>
      </c>
      <c r="I30" s="19"/>
      <c r="J30" s="35">
        <f t="shared" ref="J30:J40" si="15">IF(H$12=0,0,H30/H$12)</f>
        <v>2.8479379177317039</v>
      </c>
      <c r="K30" s="4"/>
      <c r="L30" s="19">
        <f t="shared" ref="L30:L40" si="16">+D30-H30</f>
        <v>-16762.076582317939</v>
      </c>
      <c r="M30" s="4"/>
      <c r="N30" s="35">
        <f t="shared" ref="N30:N40" si="17">IF(H30=0,0,L30/H30)</f>
        <v>-0.10857401717802131</v>
      </c>
      <c r="O30" s="10"/>
      <c r="P30" s="19">
        <f>SUM(OSRRefP22x_0)</f>
        <v>710812.7999999997</v>
      </c>
      <c r="Q30" s="19"/>
      <c r="R30" s="35">
        <f t="shared" ref="R30:R40" si="18">IF(P$12=0,0,P30/P$12)</f>
        <v>5.7033633671896871</v>
      </c>
      <c r="S30" s="19"/>
      <c r="T30" s="19">
        <f>SUM(OSRRefT22x_0)</f>
        <v>801066.15111055889</v>
      </c>
      <c r="U30" s="19"/>
      <c r="V30" s="35">
        <f t="shared" ref="V30:V40" si="19">IF(T$12=0,0,T30/T$12)</f>
        <v>3.3623346825376976</v>
      </c>
      <c r="W30" s="4"/>
      <c r="X30" s="19">
        <f t="shared" ref="X30:X40" si="20">+P30-T30</f>
        <v>-90253.35111055919</v>
      </c>
      <c r="Y30" s="4"/>
      <c r="Z30" s="35">
        <f t="shared" ref="Z30:Z40" si="21">IF(T30=0,0,X30/T30)</f>
        <v>-0.1126665394430115</v>
      </c>
    </row>
    <row r="31" spans="1:26" s="29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25779.710000000003</v>
      </c>
      <c r="E31" s="1"/>
      <c r="F31" s="5">
        <f t="shared" si="14"/>
        <v>0.40185613482066468</v>
      </c>
      <c r="G31" s="1"/>
      <c r="H31" s="1">
        <f>SUM(OSRRefH22_0x_0)</f>
        <v>20114.731556676928</v>
      </c>
      <c r="I31" s="1"/>
      <c r="J31" s="5">
        <f t="shared" si="15"/>
        <v>0.3710588934803617</v>
      </c>
      <c r="K31" s="1"/>
      <c r="L31" s="1">
        <f t="shared" si="16"/>
        <v>5664.9784433230743</v>
      </c>
      <c r="M31" s="1"/>
      <c r="N31" s="5">
        <f t="shared" si="17"/>
        <v>0.28163331075838438</v>
      </c>
      <c r="O31" s="14"/>
      <c r="P31" s="1">
        <f>SUM(OSRRefP22_0x_0)</f>
        <v>145239.57999999999</v>
      </c>
      <c r="Q31" s="1"/>
      <c r="R31" s="5">
        <f t="shared" si="18"/>
        <v>1.1653618224629834</v>
      </c>
      <c r="S31" s="1"/>
      <c r="T31" s="1">
        <f>SUM(OSRRefT22_0x_0)</f>
        <v>107416.27513620003</v>
      </c>
      <c r="U31" s="1"/>
      <c r="V31" s="5">
        <f t="shared" si="19"/>
        <v>0.45086097678543707</v>
      </c>
      <c r="W31" s="1"/>
      <c r="X31" s="1">
        <f t="shared" si="20"/>
        <v>37823.30486379996</v>
      </c>
      <c r="Y31" s="1"/>
      <c r="Z31" s="5">
        <f t="shared" si="21"/>
        <v>0.3521189392933366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6">
        <v>2059.0700000000002</v>
      </c>
      <c r="E32" s="2"/>
      <c r="F32" s="7">
        <f t="shared" si="14"/>
        <v>3.2096944128742567E-2</v>
      </c>
      <c r="G32" s="2"/>
      <c r="H32" s="6">
        <v>2426.884980369231</v>
      </c>
      <c r="I32" s="2"/>
      <c r="J32" s="7">
        <f t="shared" si="15"/>
        <v>4.4769041678858326E-2</v>
      </c>
      <c r="K32" s="2"/>
      <c r="L32" s="6">
        <f t="shared" si="16"/>
        <v>-367.81498036923085</v>
      </c>
      <c r="M32" s="2"/>
      <c r="N32" s="7">
        <f t="shared" si="17"/>
        <v>-0.15155847242223683</v>
      </c>
      <c r="O32" s="11"/>
      <c r="P32" s="6">
        <v>17978.580000000002</v>
      </c>
      <c r="Q32" s="2"/>
      <c r="R32" s="7">
        <f t="shared" si="18"/>
        <v>0.14425510424979573</v>
      </c>
      <c r="S32" s="2"/>
      <c r="T32" s="6">
        <v>13565.119225430773</v>
      </c>
      <c r="U32" s="2"/>
      <c r="V32" s="7">
        <f t="shared" si="19"/>
        <v>5.6937208969811894E-2</v>
      </c>
      <c r="W32" s="2"/>
      <c r="X32" s="6">
        <f t="shared" si="20"/>
        <v>4413.4607745692283</v>
      </c>
      <c r="Y32" s="2"/>
      <c r="Z32" s="7">
        <f t="shared" si="21"/>
        <v>0.32535362949816421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6">
        <v>1316.81</v>
      </c>
      <c r="E33" s="2"/>
      <c r="F33" s="7">
        <f t="shared" si="14"/>
        <v>2.0526537222226294E-2</v>
      </c>
      <c r="G33" s="2"/>
      <c r="H33" s="6">
        <v>903.82767353846145</v>
      </c>
      <c r="I33" s="2"/>
      <c r="J33" s="7">
        <f t="shared" si="15"/>
        <v>1.6673018752208332E-2</v>
      </c>
      <c r="K33" s="2"/>
      <c r="L33" s="6">
        <f t="shared" si="16"/>
        <v>412.98232646153849</v>
      </c>
      <c r="M33" s="2"/>
      <c r="N33" s="7">
        <f t="shared" si="17"/>
        <v>0.45692595895490079</v>
      </c>
      <c r="O33" s="11"/>
      <c r="P33" s="6">
        <v>4641.07</v>
      </c>
      <c r="Q33" s="2"/>
      <c r="R33" s="7">
        <f t="shared" si="18"/>
        <v>3.723864936388744E-2</v>
      </c>
      <c r="S33" s="2"/>
      <c r="T33" s="6">
        <v>4871.1671944615382</v>
      </c>
      <c r="U33" s="2"/>
      <c r="V33" s="7">
        <f t="shared" si="19"/>
        <v>2.0445870019188229E-2</v>
      </c>
      <c r="W33" s="2"/>
      <c r="X33" s="6">
        <f t="shared" si="20"/>
        <v>-230.09719446153849</v>
      </c>
      <c r="Y33" s="2"/>
      <c r="Z33" s="7">
        <f t="shared" si="21"/>
        <v>-4.7236562670884379E-2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6">
        <v>11367.93</v>
      </c>
      <c r="E34" s="2"/>
      <c r="F34" s="7">
        <f t="shared" si="14"/>
        <v>0.17720418153314674</v>
      </c>
      <c r="G34" s="2"/>
      <c r="H34" s="6">
        <v>10992.69230769231</v>
      </c>
      <c r="I34" s="2"/>
      <c r="J34" s="7">
        <f t="shared" si="15"/>
        <v>0.20278352870726835</v>
      </c>
      <c r="K34" s="2"/>
      <c r="L34" s="6">
        <f t="shared" si="16"/>
        <v>375.23769230768994</v>
      </c>
      <c r="M34" s="2"/>
      <c r="N34" s="7">
        <f t="shared" si="17"/>
        <v>3.4135194709772006E-2</v>
      </c>
      <c r="O34" s="11"/>
      <c r="P34" s="6">
        <v>67709.19</v>
      </c>
      <c r="Q34" s="2"/>
      <c r="R34" s="7">
        <f t="shared" si="18"/>
        <v>0.54327962843112343</v>
      </c>
      <c r="S34" s="2"/>
      <c r="T34" s="6">
        <v>57430.38461538461</v>
      </c>
      <c r="U34" s="2"/>
      <c r="V34" s="7">
        <f t="shared" si="19"/>
        <v>0.24105396758567624</v>
      </c>
      <c r="W34" s="2"/>
      <c r="X34" s="6">
        <f t="shared" si="20"/>
        <v>10278.805384615393</v>
      </c>
      <c r="Y34" s="2"/>
      <c r="Z34" s="7">
        <f t="shared" si="21"/>
        <v>0.17897852249211435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6">
        <v>208.58</v>
      </c>
      <c r="E35" s="2"/>
      <c r="F35" s="7">
        <f t="shared" si="14"/>
        <v>3.2513613458372585E-3</v>
      </c>
      <c r="G35" s="2"/>
      <c r="H35" s="6">
        <v>111.467592</v>
      </c>
      <c r="I35" s="2"/>
      <c r="J35" s="7">
        <f t="shared" si="15"/>
        <v>2.0562561936209854E-3</v>
      </c>
      <c r="K35" s="2"/>
      <c r="L35" s="6">
        <f t="shared" si="16"/>
        <v>97.112408000000016</v>
      </c>
      <c r="M35" s="2"/>
      <c r="N35" s="7">
        <f t="shared" si="17"/>
        <v>0.87121652363316526</v>
      </c>
      <c r="O35" s="11"/>
      <c r="P35" s="6">
        <v>640.41999999999996</v>
      </c>
      <c r="Q35" s="2"/>
      <c r="R35" s="7">
        <f t="shared" si="18"/>
        <v>5.1385512016885746E-3</v>
      </c>
      <c r="S35" s="2"/>
      <c r="T35" s="6">
        <v>594.15618400000005</v>
      </c>
      <c r="U35" s="2"/>
      <c r="V35" s="7">
        <f t="shared" si="19"/>
        <v>2.4938663823678791E-3</v>
      </c>
      <c r="W35" s="2"/>
      <c r="X35" s="6">
        <f t="shared" si="20"/>
        <v>46.263815999999906</v>
      </c>
      <c r="Y35" s="2"/>
      <c r="Z35" s="7">
        <f t="shared" si="21"/>
        <v>7.7864738676186027E-2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6">
        <v>5938.65</v>
      </c>
      <c r="E36" s="2"/>
      <c r="F36" s="7">
        <f t="shared" si="14"/>
        <v>9.2572140456690155E-2</v>
      </c>
      <c r="G36" s="2"/>
      <c r="H36" s="6">
        <v>2222.5677261538458</v>
      </c>
      <c r="I36" s="2"/>
      <c r="J36" s="7">
        <f t="shared" si="15"/>
        <v>4.0999976501205439E-2</v>
      </c>
      <c r="K36" s="2"/>
      <c r="L36" s="6">
        <f t="shared" si="16"/>
        <v>3716.0822738461538</v>
      </c>
      <c r="M36" s="2"/>
      <c r="N36" s="7">
        <f t="shared" si="17"/>
        <v>1.6719770696377543</v>
      </c>
      <c r="O36" s="11"/>
      <c r="P36" s="6">
        <v>23041.42</v>
      </c>
      <c r="Q36" s="2"/>
      <c r="R36" s="7">
        <f t="shared" si="18"/>
        <v>0.18487791828739134</v>
      </c>
      <c r="S36" s="2"/>
      <c r="T36" s="6">
        <v>12224.122493846158</v>
      </c>
      <c r="U36" s="2"/>
      <c r="V36" s="7">
        <f t="shared" si="19"/>
        <v>5.1308610365906636E-2</v>
      </c>
      <c r="W36" s="2"/>
      <c r="X36" s="6">
        <f t="shared" si="20"/>
        <v>10817.29750615384</v>
      </c>
      <c r="Y36" s="2"/>
      <c r="Z36" s="7">
        <f t="shared" si="21"/>
        <v>0.88491403056534002</v>
      </c>
    </row>
    <row r="37" spans="1:26" s="24" customFormat="1" hidden="1" outlineLevel="2" x14ac:dyDescent="0.25">
      <c r="A37" s="28"/>
      <c r="B37" s="11" t="str">
        <f>CONCATENATE("          ", "6116", " - ", "EDUCATIONAL BENEFITS")</f>
        <v xml:space="preserve">          6116 - EDUCATIONAL BENEFITS</v>
      </c>
      <c r="C37" s="11"/>
      <c r="D37" s="6"/>
      <c r="E37" s="2"/>
      <c r="F37" s="7">
        <f t="shared" si="14"/>
        <v>0</v>
      </c>
      <c r="G37" s="2"/>
      <c r="H37" s="6">
        <v>0</v>
      </c>
      <c r="I37" s="2"/>
      <c r="J37" s="7">
        <f t="shared" si="15"/>
        <v>0</v>
      </c>
      <c r="K37" s="2"/>
      <c r="L37" s="6">
        <f t="shared" si="16"/>
        <v>0</v>
      </c>
      <c r="M37" s="2"/>
      <c r="N37" s="7">
        <f t="shared" si="17"/>
        <v>0</v>
      </c>
      <c r="O37" s="11"/>
      <c r="P37" s="6"/>
      <c r="Q37" s="2"/>
      <c r="R37" s="7">
        <f t="shared" si="18"/>
        <v>0</v>
      </c>
      <c r="S37" s="2"/>
      <c r="T37" s="6">
        <v>0</v>
      </c>
      <c r="U37" s="2"/>
      <c r="V37" s="7">
        <f t="shared" si="19"/>
        <v>0</v>
      </c>
      <c r="W37" s="2"/>
      <c r="X37" s="6">
        <f t="shared" si="20"/>
        <v>0</v>
      </c>
      <c r="Y37" s="2"/>
      <c r="Z37" s="7">
        <f t="shared" si="21"/>
        <v>0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6">
        <v>2723.77</v>
      </c>
      <c r="E38" s="2"/>
      <c r="F38" s="7">
        <f t="shared" si="14"/>
        <v>4.2458339691970222E-2</v>
      </c>
      <c r="G38" s="2"/>
      <c r="H38" s="6">
        <v>1878.5320769230798</v>
      </c>
      <c r="I38" s="2"/>
      <c r="J38" s="7">
        <f t="shared" si="15"/>
        <v>3.4653509139129658E-2</v>
      </c>
      <c r="K38" s="2"/>
      <c r="L38" s="6">
        <f t="shared" si="16"/>
        <v>845.2379230769202</v>
      </c>
      <c r="M38" s="2"/>
      <c r="N38" s="7">
        <f t="shared" si="17"/>
        <v>0.44994596230763756</v>
      </c>
      <c r="O38" s="11"/>
      <c r="P38" s="6">
        <v>17070.919999999998</v>
      </c>
      <c r="Q38" s="2"/>
      <c r="R38" s="7">
        <f t="shared" si="18"/>
        <v>0.136972293931997</v>
      </c>
      <c r="S38" s="2"/>
      <c r="T38" s="6">
        <v>10424.626423076939</v>
      </c>
      <c r="U38" s="2"/>
      <c r="V38" s="7">
        <f t="shared" si="19"/>
        <v>4.3755541194965476E-2</v>
      </c>
      <c r="W38" s="2"/>
      <c r="X38" s="6">
        <f t="shared" si="20"/>
        <v>6646.2935769230589</v>
      </c>
      <c r="Y38" s="2"/>
      <c r="Z38" s="7">
        <f t="shared" si="21"/>
        <v>0.63755700273442839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6">
        <v>1592.42</v>
      </c>
      <c r="E39" s="2"/>
      <c r="F39" s="7">
        <f t="shared" si="14"/>
        <v>2.4822767448164577E-2</v>
      </c>
      <c r="G39" s="2"/>
      <c r="H39" s="6">
        <v>1053.7592</v>
      </c>
      <c r="I39" s="2"/>
      <c r="J39" s="7">
        <f t="shared" si="15"/>
        <v>1.9438823811544208E-2</v>
      </c>
      <c r="K39" s="2"/>
      <c r="L39" s="6">
        <f t="shared" si="16"/>
        <v>538.66080000000011</v>
      </c>
      <c r="M39" s="2"/>
      <c r="N39" s="7">
        <f t="shared" si="17"/>
        <v>0.51118016336180039</v>
      </c>
      <c r="O39" s="11"/>
      <c r="P39" s="6">
        <v>10438.64</v>
      </c>
      <c r="Q39" s="2"/>
      <c r="R39" s="7">
        <f t="shared" si="18"/>
        <v>8.3756731701062473E-2</v>
      </c>
      <c r="S39" s="2"/>
      <c r="T39" s="6">
        <v>5681.6989999999996</v>
      </c>
      <c r="U39" s="2"/>
      <c r="V39" s="7">
        <f t="shared" si="19"/>
        <v>2.3847935126150591E-2</v>
      </c>
      <c r="W39" s="2"/>
      <c r="X39" s="6">
        <f t="shared" si="20"/>
        <v>4756.9409999999998</v>
      </c>
      <c r="Y39" s="2"/>
      <c r="Z39" s="7">
        <f t="shared" si="21"/>
        <v>0.83723917792899627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6">
        <v>572.48</v>
      </c>
      <c r="E40" s="2"/>
      <c r="F40" s="7">
        <f t="shared" si="14"/>
        <v>8.9238629938868247E-3</v>
      </c>
      <c r="G40" s="2"/>
      <c r="H40" s="6">
        <v>525</v>
      </c>
      <c r="I40" s="2"/>
      <c r="J40" s="7">
        <f t="shared" si="15"/>
        <v>9.6847386965264078E-3</v>
      </c>
      <c r="K40" s="2"/>
      <c r="L40" s="6">
        <f t="shared" si="16"/>
        <v>47.480000000000018</v>
      </c>
      <c r="M40" s="2"/>
      <c r="N40" s="7">
        <f t="shared" si="17"/>
        <v>9.0438095238095276E-2</v>
      </c>
      <c r="O40" s="11"/>
      <c r="P40" s="6">
        <v>3719.34</v>
      </c>
      <c r="Q40" s="2"/>
      <c r="R40" s="7">
        <f t="shared" si="18"/>
        <v>2.9842945296037579E-2</v>
      </c>
      <c r="S40" s="2"/>
      <c r="T40" s="6">
        <v>2625</v>
      </c>
      <c r="U40" s="2"/>
      <c r="V40" s="7">
        <f t="shared" si="19"/>
        <v>1.1017977141370091E-2</v>
      </c>
      <c r="W40" s="2"/>
      <c r="X40" s="6">
        <f t="shared" si="20"/>
        <v>1094.3400000000001</v>
      </c>
      <c r="Y40" s="2"/>
      <c r="Z40" s="7">
        <f t="shared" si="21"/>
        <v>0.41689142857142863</v>
      </c>
    </row>
    <row r="41" spans="1:26" s="29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29696.65</v>
      </c>
      <c r="E41" s="1"/>
      <c r="F41" s="5">
        <f t="shared" ref="F41:F51" si="22">IF(D$12=0,0,D41/D$12)</f>
        <v>0.4629137017492474</v>
      </c>
      <c r="G41" s="1"/>
      <c r="H41" s="1">
        <f>SUM(OSRRefH22_1x_0)</f>
        <v>40058.801692307694</v>
      </c>
      <c r="I41" s="1"/>
      <c r="J41" s="5">
        <f t="shared" ref="J41:J51" si="23">IF(H$12=0,0,H41/H$12)</f>
        <v>0.73896957502089489</v>
      </c>
      <c r="K41" s="1"/>
      <c r="L41" s="1">
        <f t="shared" ref="L41:L51" si="24">+D41-H41</f>
        <v>-10362.151692307692</v>
      </c>
      <c r="M41" s="1"/>
      <c r="N41" s="5">
        <f t="shared" ref="N41:N51" si="25">IF(H41=0,0,L41/H41)</f>
        <v>-0.25867353127284104</v>
      </c>
      <c r="O41" s="14"/>
      <c r="P41" s="1">
        <f>SUM(OSRRefP22_1x_0)</f>
        <v>196433.55</v>
      </c>
      <c r="Q41" s="1"/>
      <c r="R41" s="5">
        <f t="shared" ref="R41:R51" si="26">IF(P$12=0,0,P41/P$12)</f>
        <v>1.5761279385472857</v>
      </c>
      <c r="S41" s="1"/>
      <c r="T41" s="1">
        <f>SUM(OSRRefT22_1x_0)</f>
        <v>212971.20930769228</v>
      </c>
      <c r="U41" s="1"/>
      <c r="V41" s="5">
        <f t="shared" ref="V41:V51" si="27">IF(T$12=0,0,T41/T$12)</f>
        <v>0.89390930130365664</v>
      </c>
      <c r="W41" s="1"/>
      <c r="X41" s="1">
        <f t="shared" ref="X41:X51" si="28">+P41-T41</f>
        <v>-16537.659307692287</v>
      </c>
      <c r="Y41" s="1"/>
      <c r="Z41" s="5">
        <f t="shared" ref="Z41:Z51" si="29">IF(T41=0,0,X41/T41)</f>
        <v>-7.7652089038003913E-2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6">
        <v>9962.35</v>
      </c>
      <c r="E42" s="2"/>
      <c r="F42" s="7">
        <f t="shared" si="22"/>
        <v>0.15529389061128493</v>
      </c>
      <c r="G42" s="2"/>
      <c r="H42" s="6">
        <v>15250.00769230769</v>
      </c>
      <c r="I42" s="2"/>
      <c r="J42" s="7">
        <f t="shared" si="23"/>
        <v>0.28131874213336699</v>
      </c>
      <c r="K42" s="2"/>
      <c r="L42" s="6">
        <f t="shared" si="24"/>
        <v>-5287.65769230769</v>
      </c>
      <c r="M42" s="2"/>
      <c r="N42" s="7">
        <f t="shared" si="25"/>
        <v>-0.34673147705852342</v>
      </c>
      <c r="O42" s="11"/>
      <c r="P42" s="6">
        <v>53824.380000000005</v>
      </c>
      <c r="Q42" s="2"/>
      <c r="R42" s="7">
        <f t="shared" si="26"/>
        <v>0.43187179121380115</v>
      </c>
      <c r="S42" s="2"/>
      <c r="T42" s="6">
        <v>83875.042307692274</v>
      </c>
      <c r="U42" s="2"/>
      <c r="V42" s="7">
        <f t="shared" si="27"/>
        <v>0.35205078052480104</v>
      </c>
      <c r="W42" s="2"/>
      <c r="X42" s="6">
        <f t="shared" si="28"/>
        <v>-30050.66230769227</v>
      </c>
      <c r="Y42" s="2"/>
      <c r="Z42" s="7">
        <f t="shared" si="29"/>
        <v>-0.35827895260490722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6">
        <v>16607.05</v>
      </c>
      <c r="E43" s="2"/>
      <c r="F43" s="7">
        <f t="shared" si="22"/>
        <v>0.25887199366375796</v>
      </c>
      <c r="G43" s="2"/>
      <c r="H43" s="6">
        <v>8287.7219999999998</v>
      </c>
      <c r="I43" s="2"/>
      <c r="J43" s="7">
        <f t="shared" si="23"/>
        <v>0.15288461325610139</v>
      </c>
      <c r="K43" s="2"/>
      <c r="L43" s="6">
        <f t="shared" si="24"/>
        <v>8319.3279999999995</v>
      </c>
      <c r="M43" s="2"/>
      <c r="N43" s="7">
        <f t="shared" si="25"/>
        <v>1.0038135931683037</v>
      </c>
      <c r="O43" s="11"/>
      <c r="P43" s="6">
        <v>119806.32</v>
      </c>
      <c r="Q43" s="2"/>
      <c r="R43" s="7">
        <f t="shared" si="26"/>
        <v>0.9612924480901377</v>
      </c>
      <c r="S43" s="2"/>
      <c r="T43" s="6">
        <v>45582.470999999998</v>
      </c>
      <c r="U43" s="2"/>
      <c r="V43" s="7">
        <f t="shared" si="27"/>
        <v>0.19132442800958668</v>
      </c>
      <c r="W43" s="2"/>
      <c r="X43" s="6">
        <f t="shared" si="28"/>
        <v>74223.849000000017</v>
      </c>
      <c r="Y43" s="2"/>
      <c r="Z43" s="7">
        <f t="shared" si="29"/>
        <v>1.6283419343369958</v>
      </c>
    </row>
    <row r="44" spans="1:26" s="24" customFormat="1" hidden="1" outlineLevel="2" x14ac:dyDescent="0.25">
      <c r="A44" s="28"/>
      <c r="B44" s="11" t="str">
        <f>CONCATENATE("          ", "6003", " - ", "STAFF HOURLY-9 MONTH")</f>
        <v xml:space="preserve">          6003 - STAFF HOURLY-9 MONTH</v>
      </c>
      <c r="C44" s="11"/>
      <c r="D44" s="6"/>
      <c r="E44" s="2"/>
      <c r="F44" s="7">
        <f t="shared" si="22"/>
        <v>0</v>
      </c>
      <c r="G44" s="2"/>
      <c r="H44" s="6">
        <v>0</v>
      </c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1"/>
      <c r="P44" s="6"/>
      <c r="Q44" s="2"/>
      <c r="R44" s="7">
        <f t="shared" si="26"/>
        <v>0</v>
      </c>
      <c r="S44" s="2"/>
      <c r="T44" s="6">
        <v>0</v>
      </c>
      <c r="U44" s="2"/>
      <c r="V44" s="7">
        <f t="shared" si="27"/>
        <v>0</v>
      </c>
      <c r="W44" s="2"/>
      <c r="X44" s="6">
        <f t="shared" si="28"/>
        <v>0</v>
      </c>
      <c r="Y44" s="2"/>
      <c r="Z44" s="7">
        <f t="shared" si="29"/>
        <v>0</v>
      </c>
    </row>
    <row r="45" spans="1:26" s="24" customFormat="1" hidden="1" outlineLevel="2" x14ac:dyDescent="0.25">
      <c r="A45" s="28"/>
      <c r="B45" s="11" t="str">
        <f>CONCATENATE("          ", "6004", " - ", "STAFF HOURLY")</f>
        <v xml:space="preserve">          6004 - STAFF HOURLY</v>
      </c>
      <c r="C45" s="11"/>
      <c r="D45" s="6">
        <v>2751.03</v>
      </c>
      <c r="E45" s="2"/>
      <c r="F45" s="7">
        <f t="shared" si="22"/>
        <v>4.2883270703033244E-2</v>
      </c>
      <c r="G45" s="2"/>
      <c r="H45" s="6">
        <v>5579.34</v>
      </c>
      <c r="I45" s="2"/>
      <c r="J45" s="7">
        <f t="shared" si="23"/>
        <v>0.10292276190300503</v>
      </c>
      <c r="K45" s="2"/>
      <c r="L45" s="6">
        <f t="shared" si="24"/>
        <v>-2828.31</v>
      </c>
      <c r="M45" s="2"/>
      <c r="N45" s="7">
        <f t="shared" si="25"/>
        <v>-0.5069255503339104</v>
      </c>
      <c r="O45" s="11"/>
      <c r="P45" s="6">
        <v>18098.329999999998</v>
      </c>
      <c r="Q45" s="2"/>
      <c r="R45" s="7">
        <f t="shared" si="26"/>
        <v>0.14521594480193684</v>
      </c>
      <c r="S45" s="2"/>
      <c r="T45" s="6">
        <v>30037.75</v>
      </c>
      <c r="U45" s="2"/>
      <c r="V45" s="7">
        <f t="shared" si="27"/>
        <v>0.1260781877631198</v>
      </c>
      <c r="W45" s="2"/>
      <c r="X45" s="6">
        <f t="shared" si="28"/>
        <v>-11939.420000000002</v>
      </c>
      <c r="Y45" s="2"/>
      <c r="Z45" s="7">
        <f t="shared" si="29"/>
        <v>-0.39748050369951149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6">
        <v>376.22</v>
      </c>
      <c r="E46" s="2"/>
      <c r="F46" s="7">
        <f t="shared" si="22"/>
        <v>5.8645467711712215E-3</v>
      </c>
      <c r="G46" s="2"/>
      <c r="H46" s="6">
        <v>4740.8919999999998</v>
      </c>
      <c r="I46" s="2"/>
      <c r="J46" s="7">
        <f t="shared" si="23"/>
        <v>8.7455809920861841E-2</v>
      </c>
      <c r="K46" s="2"/>
      <c r="L46" s="6">
        <f t="shared" si="24"/>
        <v>-4364.6719999999996</v>
      </c>
      <c r="M46" s="2"/>
      <c r="N46" s="7">
        <f t="shared" si="25"/>
        <v>-0.92064362571431702</v>
      </c>
      <c r="O46" s="11"/>
      <c r="P46" s="6">
        <v>4634.8100000000004</v>
      </c>
      <c r="Q46" s="2"/>
      <c r="R46" s="7">
        <f t="shared" si="26"/>
        <v>3.718842087239347E-2</v>
      </c>
      <c r="S46" s="2"/>
      <c r="T46" s="6">
        <v>23810.625999999997</v>
      </c>
      <c r="U46" s="2"/>
      <c r="V46" s="7">
        <f t="shared" si="27"/>
        <v>9.9940926853223741E-2</v>
      </c>
      <c r="W46" s="2"/>
      <c r="X46" s="6">
        <f t="shared" si="28"/>
        <v>-19175.815999999995</v>
      </c>
      <c r="Y46" s="2"/>
      <c r="Z46" s="7">
        <f t="shared" si="29"/>
        <v>-0.80534699087709827</v>
      </c>
    </row>
    <row r="47" spans="1:26" s="24" customFormat="1" hidden="1" outlineLevel="2" x14ac:dyDescent="0.25">
      <c r="A47" s="28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22"/>
        <v>0</v>
      </c>
      <c r="G47" s="2"/>
      <c r="H47" s="6">
        <v>0</v>
      </c>
      <c r="I47" s="2"/>
      <c r="J47" s="7">
        <f t="shared" si="23"/>
        <v>0</v>
      </c>
      <c r="K47" s="2"/>
      <c r="L47" s="6">
        <f t="shared" si="24"/>
        <v>0</v>
      </c>
      <c r="M47" s="2"/>
      <c r="N47" s="7">
        <f t="shared" si="25"/>
        <v>0</v>
      </c>
      <c r="O47" s="11"/>
      <c r="P47" s="6"/>
      <c r="Q47" s="2"/>
      <c r="R47" s="7">
        <f t="shared" si="26"/>
        <v>0</v>
      </c>
      <c r="S47" s="2"/>
      <c r="T47" s="6">
        <v>0</v>
      </c>
      <c r="U47" s="2"/>
      <c r="V47" s="7">
        <f t="shared" si="27"/>
        <v>0</v>
      </c>
      <c r="W47" s="2"/>
      <c r="X47" s="6">
        <f t="shared" si="28"/>
        <v>0</v>
      </c>
      <c r="Y47" s="2"/>
      <c r="Z47" s="7">
        <f t="shared" si="29"/>
        <v>0</v>
      </c>
    </row>
    <row r="48" spans="1:26" s="24" customFormat="1" hidden="1" outlineLevel="2" x14ac:dyDescent="0.25">
      <c r="A48" s="28"/>
      <c r="B48" s="11" t="str">
        <f>CONCATENATE("          ", "6007", " - ", "STUDENT HOURLY")</f>
        <v xml:space="preserve">          6007 - STUDENT HOURLY</v>
      </c>
      <c r="C48" s="11"/>
      <c r="D48" s="6"/>
      <c r="E48" s="2"/>
      <c r="F48" s="7">
        <f t="shared" si="22"/>
        <v>0</v>
      </c>
      <c r="G48" s="2"/>
      <c r="H48" s="6">
        <v>0</v>
      </c>
      <c r="I48" s="2"/>
      <c r="J48" s="7">
        <f t="shared" si="23"/>
        <v>0</v>
      </c>
      <c r="K48" s="2"/>
      <c r="L48" s="6">
        <f t="shared" si="24"/>
        <v>0</v>
      </c>
      <c r="M48" s="2"/>
      <c r="N48" s="7">
        <f t="shared" si="25"/>
        <v>0</v>
      </c>
      <c r="O48" s="11"/>
      <c r="P48" s="6">
        <v>69.709999999999994</v>
      </c>
      <c r="Q48" s="2"/>
      <c r="R48" s="7">
        <f t="shared" si="26"/>
        <v>5.5933356901675545E-4</v>
      </c>
      <c r="S48" s="2"/>
      <c r="T48" s="6">
        <v>3202.94</v>
      </c>
      <c r="U48" s="2"/>
      <c r="V48" s="7">
        <f t="shared" si="27"/>
        <v>1.3443778935306636E-2</v>
      </c>
      <c r="W48" s="2"/>
      <c r="X48" s="6">
        <f t="shared" si="28"/>
        <v>-3133.23</v>
      </c>
      <c r="Y48" s="2"/>
      <c r="Z48" s="7">
        <f t="shared" si="29"/>
        <v>-0.97823562102318495</v>
      </c>
    </row>
    <row r="49" spans="1:26" s="24" customFormat="1" hidden="1" outlineLevel="2" x14ac:dyDescent="0.25">
      <c r="A49" s="28"/>
      <c r="B49" s="11" t="str">
        <f>CONCATENATE("          ", "6008", " - ", "STUDENT HOURLY-FICA EXEMPT")</f>
        <v xml:space="preserve">          6008 - STUDENT HOURLY-FICA EXEMPT</v>
      </c>
      <c r="C49" s="11"/>
      <c r="D49" s="6"/>
      <c r="E49" s="2"/>
      <c r="F49" s="7">
        <f t="shared" si="22"/>
        <v>0</v>
      </c>
      <c r="G49" s="2"/>
      <c r="H49" s="6">
        <v>6200.84</v>
      </c>
      <c r="I49" s="2"/>
      <c r="J49" s="7">
        <f t="shared" si="23"/>
        <v>0.11438764780755964</v>
      </c>
      <c r="K49" s="2"/>
      <c r="L49" s="6">
        <f t="shared" si="24"/>
        <v>-6200.84</v>
      </c>
      <c r="M49" s="2"/>
      <c r="N49" s="7">
        <f t="shared" si="25"/>
        <v>-1</v>
      </c>
      <c r="O49" s="11"/>
      <c r="P49" s="6"/>
      <c r="Q49" s="2"/>
      <c r="R49" s="7">
        <f t="shared" si="26"/>
        <v>0</v>
      </c>
      <c r="S49" s="2"/>
      <c r="T49" s="6">
        <v>26462.38</v>
      </c>
      <c r="U49" s="2"/>
      <c r="V49" s="7">
        <f t="shared" si="27"/>
        <v>0.1110711992176187</v>
      </c>
      <c r="W49" s="2"/>
      <c r="X49" s="6">
        <f t="shared" si="28"/>
        <v>-26462.38</v>
      </c>
      <c r="Y49" s="2"/>
      <c r="Z49" s="7">
        <f t="shared" si="29"/>
        <v>-1</v>
      </c>
    </row>
    <row r="50" spans="1:26" s="24" customFormat="1" hidden="1" outlineLevel="2" x14ac:dyDescent="0.25">
      <c r="A50" s="28"/>
      <c r="B50" s="11" t="str">
        <f>CONCATENATE("          ", "6009", " - ", "TEMPORARY-SEASONAL")</f>
        <v xml:space="preserve">          6009 - TEMPORARY-SEASONAL</v>
      </c>
      <c r="C50" s="11"/>
      <c r="D50" s="6"/>
      <c r="E50" s="2"/>
      <c r="F50" s="7">
        <f t="shared" si="22"/>
        <v>0</v>
      </c>
      <c r="G50" s="2"/>
      <c r="H50" s="6">
        <v>0</v>
      </c>
      <c r="I50" s="2"/>
      <c r="J50" s="7">
        <f t="shared" si="23"/>
        <v>0</v>
      </c>
      <c r="K50" s="2"/>
      <c r="L50" s="6">
        <f t="shared" si="24"/>
        <v>0</v>
      </c>
      <c r="M50" s="2"/>
      <c r="N50" s="7">
        <f t="shared" si="25"/>
        <v>0</v>
      </c>
      <c r="O50" s="11"/>
      <c r="P50" s="6"/>
      <c r="Q50" s="2"/>
      <c r="R50" s="7">
        <f t="shared" si="26"/>
        <v>0</v>
      </c>
      <c r="S50" s="2"/>
      <c r="T50" s="6">
        <v>0</v>
      </c>
      <c r="U50" s="2"/>
      <c r="V50" s="7">
        <f t="shared" si="27"/>
        <v>0</v>
      </c>
      <c r="W50" s="2"/>
      <c r="X50" s="6">
        <f t="shared" si="28"/>
        <v>0</v>
      </c>
      <c r="Y50" s="2"/>
      <c r="Z50" s="7">
        <f t="shared" si="29"/>
        <v>0</v>
      </c>
    </row>
    <row r="51" spans="1:26" s="24" customFormat="1" hidden="1" outlineLevel="2" x14ac:dyDescent="0.25">
      <c r="A51" s="28"/>
      <c r="B51" s="11" t="str">
        <f>CONCATENATE("          ", "6010", " - ", "GRATUITY")</f>
        <v xml:space="preserve">          6010 - GRATUITY</v>
      </c>
      <c r="C51" s="11"/>
      <c r="D51" s="6"/>
      <c r="E51" s="2"/>
      <c r="F51" s="7">
        <f t="shared" si="22"/>
        <v>0</v>
      </c>
      <c r="G51" s="2"/>
      <c r="H51" s="6">
        <v>0</v>
      </c>
      <c r="I51" s="2"/>
      <c r="J51" s="7">
        <f t="shared" si="23"/>
        <v>0</v>
      </c>
      <c r="K51" s="2"/>
      <c r="L51" s="6">
        <f t="shared" si="24"/>
        <v>0</v>
      </c>
      <c r="M51" s="2"/>
      <c r="N51" s="7">
        <f t="shared" si="25"/>
        <v>0</v>
      </c>
      <c r="O51" s="11"/>
      <c r="P51" s="6"/>
      <c r="Q51" s="2"/>
      <c r="R51" s="7">
        <f t="shared" si="26"/>
        <v>0</v>
      </c>
      <c r="S51" s="2"/>
      <c r="T51" s="6">
        <v>0</v>
      </c>
      <c r="U51" s="2"/>
      <c r="V51" s="7">
        <f t="shared" si="27"/>
        <v>0</v>
      </c>
      <c r="W51" s="2"/>
      <c r="X51" s="6">
        <f t="shared" si="28"/>
        <v>0</v>
      </c>
      <c r="Y51" s="2"/>
      <c r="Z51" s="7">
        <f t="shared" si="29"/>
        <v>0</v>
      </c>
    </row>
    <row r="52" spans="1:26" s="29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15.9</v>
      </c>
      <c r="E52" s="1"/>
      <c r="F52" s="5">
        <f t="shared" ref="F52:F61" si="30">IF(D$12=0,0,D52/D$12)</f>
        <v>2.4785044298979966E-4</v>
      </c>
      <c r="G52" s="1"/>
      <c r="H52" s="1">
        <f>SUM(OSRRefH22_2x_0)</f>
        <v>1192</v>
      </c>
      <c r="I52" s="1"/>
      <c r="J52" s="5">
        <f t="shared" ref="J52:J61" si="31">IF(H$12=0,0,H52/H$12)</f>
        <v>2.1988968621446624E-2</v>
      </c>
      <c r="K52" s="1"/>
      <c r="L52" s="1">
        <f t="shared" ref="L52:L61" si="32">+D52-H52</f>
        <v>-1176.0999999999999</v>
      </c>
      <c r="M52" s="1"/>
      <c r="N52" s="5">
        <f t="shared" ref="N52:N61" si="33">IF(H52=0,0,L52/H52)</f>
        <v>-0.98666107382550328</v>
      </c>
      <c r="O52" s="14"/>
      <c r="P52" s="1">
        <f>SUM(OSRRefP22_2x_0)</f>
        <v>126.53</v>
      </c>
      <c r="Q52" s="1"/>
      <c r="R52" s="5">
        <f t="shared" ref="R52:R61" si="34">IF(P$12=0,0,P52/P$12)</f>
        <v>1.015241378391767E-3</v>
      </c>
      <c r="S52" s="1"/>
      <c r="T52" s="1">
        <f>SUM(OSRRefT22_2x_0)</f>
        <v>4682</v>
      </c>
      <c r="U52" s="1"/>
      <c r="V52" s="5">
        <f t="shared" ref="V52:V61" si="35">IF(T$12=0,0,T52/T$12)</f>
        <v>1.9651873895578958E-2</v>
      </c>
      <c r="W52" s="1"/>
      <c r="X52" s="1">
        <f t="shared" ref="X52:X61" si="36">+P52-T52</f>
        <v>-4555.47</v>
      </c>
      <c r="Y52" s="1"/>
      <c r="Z52" s="5">
        <f t="shared" ref="Z52:Z61" si="37">IF(T52=0,0,X52/T52)</f>
        <v>-0.97297522426313543</v>
      </c>
    </row>
    <row r="53" spans="1:26" s="24" customFormat="1" hidden="1" outlineLevel="2" x14ac:dyDescent="0.25">
      <c r="A53" s="28"/>
      <c r="B53" s="11" t="str">
        <f>CONCATENATE("          ", "6362", " - ", "ADVERTISING EXPENSE")</f>
        <v xml:space="preserve">          6362 - ADVERTISING EXPENSE</v>
      </c>
      <c r="C53" s="11"/>
      <c r="D53" s="6">
        <v>15.9</v>
      </c>
      <c r="E53" s="2"/>
      <c r="F53" s="7">
        <f t="shared" si="30"/>
        <v>2.4785044298979966E-4</v>
      </c>
      <c r="G53" s="2"/>
      <c r="H53" s="6">
        <v>1192</v>
      </c>
      <c r="I53" s="2"/>
      <c r="J53" s="7">
        <f t="shared" si="31"/>
        <v>2.1988968621446624E-2</v>
      </c>
      <c r="K53" s="2"/>
      <c r="L53" s="6">
        <f t="shared" si="32"/>
        <v>-1176.0999999999999</v>
      </c>
      <c r="M53" s="2"/>
      <c r="N53" s="7">
        <f t="shared" si="33"/>
        <v>-0.98666107382550328</v>
      </c>
      <c r="O53" s="11"/>
      <c r="P53" s="6">
        <v>126.53</v>
      </c>
      <c r="Q53" s="2"/>
      <c r="R53" s="7">
        <f t="shared" si="34"/>
        <v>1.015241378391767E-3</v>
      </c>
      <c r="S53" s="2"/>
      <c r="T53" s="6">
        <v>4682</v>
      </c>
      <c r="U53" s="2"/>
      <c r="V53" s="7">
        <f t="shared" si="35"/>
        <v>1.9651873895578958E-2</v>
      </c>
      <c r="W53" s="2"/>
      <c r="X53" s="6">
        <f t="shared" si="36"/>
        <v>-4555.47</v>
      </c>
      <c r="Y53" s="2"/>
      <c r="Z53" s="7">
        <f t="shared" si="37"/>
        <v>-0.97297522426313543</v>
      </c>
    </row>
    <row r="54" spans="1:26" s="29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-1331.23</v>
      </c>
      <c r="E54" s="1"/>
      <c r="F54" s="5">
        <f t="shared" si="30"/>
        <v>-2.0751317309516414E-2</v>
      </c>
      <c r="G54" s="1"/>
      <c r="H54" s="1">
        <f>SUM(OSRRefH22_3x_0)</f>
        <v>18</v>
      </c>
      <c r="I54" s="1"/>
      <c r="J54" s="5">
        <f t="shared" si="31"/>
        <v>3.3204818388090539E-4</v>
      </c>
      <c r="K54" s="1"/>
      <c r="L54" s="1">
        <f t="shared" si="32"/>
        <v>-1349.23</v>
      </c>
      <c r="M54" s="1"/>
      <c r="N54" s="5">
        <f t="shared" si="33"/>
        <v>-74.957222222222228</v>
      </c>
      <c r="O54" s="14"/>
      <c r="P54" s="1">
        <f>SUM(OSRRefP22_3x_0)</f>
        <v>10.36</v>
      </c>
      <c r="Q54" s="1"/>
      <c r="R54" s="5">
        <f t="shared" si="34"/>
        <v>8.3125746306320279E-5</v>
      </c>
      <c r="S54" s="1"/>
      <c r="T54" s="1">
        <f>SUM(OSRRefT22_3x_0)</f>
        <v>101</v>
      </c>
      <c r="U54" s="1"/>
      <c r="V54" s="5">
        <f t="shared" si="35"/>
        <v>4.2392978715366823E-4</v>
      </c>
      <c r="W54" s="1"/>
      <c r="X54" s="1">
        <f t="shared" si="36"/>
        <v>-90.64</v>
      </c>
      <c r="Y54" s="1"/>
      <c r="Z54" s="5">
        <f t="shared" si="37"/>
        <v>-0.89742574257425745</v>
      </c>
    </row>
    <row r="55" spans="1:26" s="24" customFormat="1" hidden="1" outlineLevel="2" x14ac:dyDescent="0.25">
      <c r="A55" s="28"/>
      <c r="B55" s="11" t="str">
        <f>CONCATENATE("          ", "6272", " - ", "CASH (OVER/SHORT)")</f>
        <v xml:space="preserve">          6272 - CASH (OVER/SHORT)</v>
      </c>
      <c r="C55" s="11"/>
      <c r="D55" s="6">
        <v>-1331.23</v>
      </c>
      <c r="E55" s="2"/>
      <c r="F55" s="7">
        <f t="shared" si="30"/>
        <v>-2.0751317309516414E-2</v>
      </c>
      <c r="G55" s="2"/>
      <c r="H55" s="6">
        <v>18</v>
      </c>
      <c r="I55" s="2"/>
      <c r="J55" s="7">
        <f t="shared" si="31"/>
        <v>3.3204818388090539E-4</v>
      </c>
      <c r="K55" s="2"/>
      <c r="L55" s="6">
        <f t="shared" si="32"/>
        <v>-1349.23</v>
      </c>
      <c r="M55" s="2"/>
      <c r="N55" s="7">
        <f t="shared" si="33"/>
        <v>-74.957222222222228</v>
      </c>
      <c r="O55" s="11"/>
      <c r="P55" s="6">
        <v>10.36</v>
      </c>
      <c r="Q55" s="2"/>
      <c r="R55" s="7">
        <f t="shared" si="34"/>
        <v>8.3125746306320279E-5</v>
      </c>
      <c r="S55" s="2"/>
      <c r="T55" s="6">
        <v>101</v>
      </c>
      <c r="U55" s="2"/>
      <c r="V55" s="7">
        <f t="shared" si="35"/>
        <v>4.2392978715366823E-4</v>
      </c>
      <c r="W55" s="2"/>
      <c r="X55" s="6">
        <f t="shared" si="36"/>
        <v>-90.64</v>
      </c>
      <c r="Y55" s="2"/>
      <c r="Z55" s="7">
        <f t="shared" si="37"/>
        <v>-0.89742574257425745</v>
      </c>
    </row>
    <row r="56" spans="1:26" s="29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952.48</v>
      </c>
      <c r="E56" s="1"/>
      <c r="F56" s="5">
        <f t="shared" si="30"/>
        <v>1.484733270056128E-2</v>
      </c>
      <c r="G56" s="1"/>
      <c r="H56" s="1">
        <f>SUM(OSRRefH22_4x_0)</f>
        <v>7059</v>
      </c>
      <c r="I56" s="1"/>
      <c r="J56" s="5">
        <f t="shared" si="31"/>
        <v>0.13021822944529507</v>
      </c>
      <c r="K56" s="1"/>
      <c r="L56" s="1">
        <f t="shared" si="32"/>
        <v>-6106.52</v>
      </c>
      <c r="M56" s="1"/>
      <c r="N56" s="5">
        <f t="shared" si="33"/>
        <v>-0.86506870661566804</v>
      </c>
      <c r="O56" s="14"/>
      <c r="P56" s="1">
        <f>SUM(OSRRefP22_4x_0)</f>
        <v>3254.53</v>
      </c>
      <c r="Q56" s="1"/>
      <c r="R56" s="5">
        <f t="shared" si="34"/>
        <v>2.6113439684006621E-2</v>
      </c>
      <c r="S56" s="1"/>
      <c r="T56" s="1">
        <f>SUM(OSRRefT22_4x_0)</f>
        <v>32650</v>
      </c>
      <c r="U56" s="1"/>
      <c r="V56" s="5">
        <f t="shared" si="35"/>
        <v>0.13704264901551752</v>
      </c>
      <c r="W56" s="1"/>
      <c r="X56" s="1">
        <f t="shared" si="36"/>
        <v>-29395.47</v>
      </c>
      <c r="Y56" s="1"/>
      <c r="Z56" s="5">
        <f t="shared" si="37"/>
        <v>-0.90032067381317005</v>
      </c>
    </row>
    <row r="57" spans="1:26" s="24" customFormat="1" hidden="1" outlineLevel="2" x14ac:dyDescent="0.25">
      <c r="A57" s="28"/>
      <c r="B57" s="11" t="str">
        <f>CONCATENATE("          ", "6381", " - ", "BANK/CREDIT CARD FEES")</f>
        <v xml:space="preserve">          6381 - BANK/CREDIT CARD FEES</v>
      </c>
      <c r="C57" s="11"/>
      <c r="D57" s="6">
        <v>952.48</v>
      </c>
      <c r="E57" s="2"/>
      <c r="F57" s="7">
        <f t="shared" si="30"/>
        <v>1.484733270056128E-2</v>
      </c>
      <c r="G57" s="2"/>
      <c r="H57" s="6">
        <v>7059</v>
      </c>
      <c r="I57" s="2"/>
      <c r="J57" s="7">
        <f t="shared" si="31"/>
        <v>0.13021822944529507</v>
      </c>
      <c r="K57" s="2"/>
      <c r="L57" s="6">
        <f t="shared" si="32"/>
        <v>-6106.52</v>
      </c>
      <c r="M57" s="2"/>
      <c r="N57" s="7">
        <f t="shared" si="33"/>
        <v>-0.86506870661566804</v>
      </c>
      <c r="O57" s="11"/>
      <c r="P57" s="6">
        <v>3254.53</v>
      </c>
      <c r="Q57" s="2"/>
      <c r="R57" s="7">
        <f t="shared" si="34"/>
        <v>2.6113439684006621E-2</v>
      </c>
      <c r="S57" s="2"/>
      <c r="T57" s="6">
        <v>32650</v>
      </c>
      <c r="U57" s="2"/>
      <c r="V57" s="7">
        <f t="shared" si="35"/>
        <v>0.13704264901551752</v>
      </c>
      <c r="W57" s="2"/>
      <c r="X57" s="6">
        <f t="shared" si="36"/>
        <v>-29395.47</v>
      </c>
      <c r="Y57" s="2"/>
      <c r="Z57" s="7">
        <f t="shared" si="37"/>
        <v>-0.90032067381317005</v>
      </c>
    </row>
    <row r="58" spans="1:26" s="29" customFormat="1" outlineLevel="1" collapsed="1" x14ac:dyDescent="0.2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45872.85</v>
      </c>
      <c r="E58" s="1"/>
      <c r="F58" s="5">
        <f t="shared" si="30"/>
        <v>0.71506957193110887</v>
      </c>
      <c r="G58" s="1"/>
      <c r="H58" s="1">
        <f>SUM(OSRRefH22_5x_0)</f>
        <v>46280</v>
      </c>
      <c r="I58" s="1"/>
      <c r="J58" s="5">
        <f t="shared" si="31"/>
        <v>0.85373277500046119</v>
      </c>
      <c r="K58" s="1"/>
      <c r="L58" s="1">
        <f t="shared" si="32"/>
        <v>-407.15000000000146</v>
      </c>
      <c r="M58" s="1"/>
      <c r="N58" s="5">
        <f t="shared" si="33"/>
        <v>-8.7975367329300221E-3</v>
      </c>
      <c r="O58" s="14"/>
      <c r="P58" s="1">
        <f>SUM(OSRRefP22_5x_0)</f>
        <v>232369.05</v>
      </c>
      <c r="Q58" s="1"/>
      <c r="R58" s="5">
        <f t="shared" si="34"/>
        <v>1.8644643532568197</v>
      </c>
      <c r="S58" s="1"/>
      <c r="T58" s="1">
        <f>SUM(OSRRefT22_5x_0)</f>
        <v>234452</v>
      </c>
      <c r="U58" s="1"/>
      <c r="V58" s="5">
        <f t="shared" si="35"/>
        <v>0.98407115304704784</v>
      </c>
      <c r="W58" s="1"/>
      <c r="X58" s="1">
        <f t="shared" si="36"/>
        <v>-2082.9500000000116</v>
      </c>
      <c r="Y58" s="1"/>
      <c r="Z58" s="5">
        <f t="shared" si="37"/>
        <v>-8.8843345332947112E-3</v>
      </c>
    </row>
    <row r="59" spans="1:26" s="24" customFormat="1" hidden="1" outlineLevel="2" x14ac:dyDescent="0.25">
      <c r="A59" s="28"/>
      <c r="B59" s="11" t="str">
        <f>CONCATENATE("          ", "6321", " - ", "BUILDING DEPRECIATION")</f>
        <v xml:space="preserve">          6321 - BUILDING DEPRECIATION</v>
      </c>
      <c r="C59" s="11"/>
      <c r="D59" s="6">
        <v>28664</v>
      </c>
      <c r="E59" s="2"/>
      <c r="F59" s="7">
        <f t="shared" si="30"/>
        <v>0.44681667282135956</v>
      </c>
      <c r="G59" s="2"/>
      <c r="H59" s="6"/>
      <c r="I59" s="2"/>
      <c r="J59" s="7">
        <f t="shared" si="31"/>
        <v>0</v>
      </c>
      <c r="K59" s="2"/>
      <c r="L59" s="6">
        <f t="shared" si="32"/>
        <v>28664</v>
      </c>
      <c r="M59" s="2"/>
      <c r="N59" s="7">
        <f t="shared" si="33"/>
        <v>0</v>
      </c>
      <c r="O59" s="11"/>
      <c r="P59" s="6">
        <v>144104.19</v>
      </c>
      <c r="Q59" s="2"/>
      <c r="R59" s="7">
        <f t="shared" si="34"/>
        <v>1.1562517702333761</v>
      </c>
      <c r="S59" s="2"/>
      <c r="T59" s="6"/>
      <c r="U59" s="2"/>
      <c r="V59" s="7">
        <f t="shared" si="35"/>
        <v>0</v>
      </c>
      <c r="W59" s="2"/>
      <c r="X59" s="6">
        <f t="shared" si="36"/>
        <v>144104.19</v>
      </c>
      <c r="Y59" s="2"/>
      <c r="Z59" s="7">
        <f t="shared" si="37"/>
        <v>0</v>
      </c>
    </row>
    <row r="60" spans="1:26" s="24" customFormat="1" hidden="1" outlineLevel="2" x14ac:dyDescent="0.25">
      <c r="A60" s="28"/>
      <c r="B60" s="11" t="str">
        <f>CONCATENATE("          ", "6322", " - ", "EQUIPMENT DEPRECIATION EXPENSE")</f>
        <v xml:space="preserve">          6322 - EQUIPMENT DEPRECIATION EXPENSE</v>
      </c>
      <c r="C60" s="11"/>
      <c r="D60" s="6">
        <v>17208.849999999999</v>
      </c>
      <c r="E60" s="2"/>
      <c r="F60" s="7">
        <f t="shared" si="30"/>
        <v>0.26825289910974925</v>
      </c>
      <c r="G60" s="2"/>
      <c r="H60" s="6">
        <v>45730</v>
      </c>
      <c r="I60" s="2"/>
      <c r="J60" s="7">
        <f t="shared" si="31"/>
        <v>0.84358685827076685</v>
      </c>
      <c r="K60" s="2"/>
      <c r="L60" s="6">
        <f t="shared" si="32"/>
        <v>-28521.15</v>
      </c>
      <c r="M60" s="2"/>
      <c r="N60" s="7">
        <f t="shared" si="33"/>
        <v>-0.62368576426853273</v>
      </c>
      <c r="O60" s="11"/>
      <c r="P60" s="6">
        <v>88264.86</v>
      </c>
      <c r="Q60" s="2"/>
      <c r="R60" s="7">
        <f t="shared" si="34"/>
        <v>0.7082125830234437</v>
      </c>
      <c r="S60" s="2"/>
      <c r="T60" s="6">
        <v>231702</v>
      </c>
      <c r="U60" s="2"/>
      <c r="V60" s="7">
        <f t="shared" si="35"/>
        <v>0.97252851032751719</v>
      </c>
      <c r="W60" s="2"/>
      <c r="X60" s="6">
        <f t="shared" si="36"/>
        <v>-143437.14000000001</v>
      </c>
      <c r="Y60" s="2"/>
      <c r="Z60" s="7">
        <f t="shared" si="37"/>
        <v>-0.61905870471553981</v>
      </c>
    </row>
    <row r="61" spans="1:26" s="24" customFormat="1" hidden="1" outlineLevel="2" x14ac:dyDescent="0.25">
      <c r="A61" s="28"/>
      <c r="B61" s="11" t="str">
        <f>CONCATENATE("          ", "6326", " - ", "VEHICLES DEPRECIATION EXPENSE")</f>
        <v xml:space="preserve">          6326 - VEHICLES DEPRECIATION EXPENSE</v>
      </c>
      <c r="C61" s="11"/>
      <c r="D61" s="6"/>
      <c r="E61" s="2"/>
      <c r="F61" s="7">
        <f t="shared" si="30"/>
        <v>0</v>
      </c>
      <c r="G61" s="2"/>
      <c r="H61" s="6">
        <v>550</v>
      </c>
      <c r="I61" s="2"/>
      <c r="J61" s="7">
        <f t="shared" si="31"/>
        <v>1.0145916729694331E-2</v>
      </c>
      <c r="K61" s="2"/>
      <c r="L61" s="6">
        <f t="shared" si="32"/>
        <v>-550</v>
      </c>
      <c r="M61" s="2"/>
      <c r="N61" s="7">
        <f t="shared" si="33"/>
        <v>-1</v>
      </c>
      <c r="O61" s="11"/>
      <c r="P61" s="6"/>
      <c r="Q61" s="2"/>
      <c r="R61" s="7">
        <f t="shared" si="34"/>
        <v>0</v>
      </c>
      <c r="S61" s="2"/>
      <c r="T61" s="6">
        <v>2750</v>
      </c>
      <c r="U61" s="2"/>
      <c r="V61" s="7">
        <f t="shared" si="35"/>
        <v>1.1542642719530571E-2</v>
      </c>
      <c r="W61" s="2"/>
      <c r="X61" s="6">
        <f t="shared" si="36"/>
        <v>-2750</v>
      </c>
      <c r="Y61" s="2"/>
      <c r="Z61" s="7">
        <f t="shared" si="37"/>
        <v>-1</v>
      </c>
    </row>
    <row r="62" spans="1:26" s="29" customFormat="1" outlineLevel="1" collapsed="1" x14ac:dyDescent="0.25">
      <c r="A62" s="27"/>
      <c r="B62" s="14" t="str">
        <f>CONCATENATE("     ","Employees' Appreciation                           ")</f>
        <v xml:space="preserve">     Employees' Appreciation                           </v>
      </c>
      <c r="C62" s="14"/>
      <c r="D62" s="1">
        <f>SUM(OSRRefD22_6x_0)</f>
        <v>0</v>
      </c>
      <c r="E62" s="1"/>
      <c r="F62" s="5">
        <f t="shared" ref="F62:F68" si="38">IF(D$12=0,0,D62/D$12)</f>
        <v>0</v>
      </c>
      <c r="G62" s="1"/>
      <c r="H62" s="1">
        <f>SUM(OSRRefH22_6x_0)</f>
        <v>0</v>
      </c>
      <c r="I62" s="1"/>
      <c r="J62" s="5">
        <f t="shared" ref="J62:J68" si="39">IF(H$12=0,0,H62/H$12)</f>
        <v>0</v>
      </c>
      <c r="K62" s="1"/>
      <c r="L62" s="1">
        <f t="shared" ref="L62:L68" si="40">+D62-H62</f>
        <v>0</v>
      </c>
      <c r="M62" s="1"/>
      <c r="N62" s="5">
        <f t="shared" ref="N62:N68" si="41">IF(H62=0,0,L62/H62)</f>
        <v>0</v>
      </c>
      <c r="O62" s="14"/>
      <c r="P62" s="1">
        <f>SUM(OSRRefP22_6x_0)</f>
        <v>0</v>
      </c>
      <c r="Q62" s="1"/>
      <c r="R62" s="5">
        <f t="shared" ref="R62:R68" si="42">IF(P$12=0,0,P62/P$12)</f>
        <v>0</v>
      </c>
      <c r="S62" s="1"/>
      <c r="T62" s="1">
        <f>SUM(OSRRefT22_6x_0)</f>
        <v>0</v>
      </c>
      <c r="U62" s="1"/>
      <c r="V62" s="5">
        <f t="shared" ref="V62:V68" si="43">IF(T$12=0,0,T62/T$12)</f>
        <v>0</v>
      </c>
      <c r="W62" s="1"/>
      <c r="X62" s="1">
        <f t="shared" ref="X62:X68" si="44">+P62-T62</f>
        <v>0</v>
      </c>
      <c r="Y62" s="1"/>
      <c r="Z62" s="5">
        <f t="shared" ref="Z62:Z68" si="45">IF(T62=0,0,X62/T62)</f>
        <v>0</v>
      </c>
    </row>
    <row r="63" spans="1:26" s="24" customFormat="1" hidden="1" outlineLevel="2" x14ac:dyDescent="0.25">
      <c r="A63" s="28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38"/>
        <v>0</v>
      </c>
      <c r="G63" s="2"/>
      <c r="H63" s="6">
        <v>0</v>
      </c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1"/>
      <c r="P63" s="6"/>
      <c r="Q63" s="2"/>
      <c r="R63" s="7">
        <f t="shared" si="42"/>
        <v>0</v>
      </c>
      <c r="S63" s="2"/>
      <c r="T63" s="6">
        <v>0</v>
      </c>
      <c r="U63" s="2"/>
      <c r="V63" s="7">
        <f t="shared" si="43"/>
        <v>0</v>
      </c>
      <c r="W63" s="2"/>
      <c r="X63" s="6">
        <f t="shared" si="44"/>
        <v>0</v>
      </c>
      <c r="Y63" s="2"/>
      <c r="Z63" s="7">
        <f t="shared" si="45"/>
        <v>0</v>
      </c>
    </row>
    <row r="64" spans="1:26" s="29" customFormat="1" outlineLevel="1" collapsed="1" x14ac:dyDescent="0.25">
      <c r="A64" s="27"/>
      <c r="B64" s="14" t="str">
        <f>CONCATENATE("     ","Equipment Rental                                  ")</f>
        <v xml:space="preserve">     Equipment Rental                                  </v>
      </c>
      <c r="C64" s="14"/>
      <c r="D64" s="1">
        <f>SUM(OSRRefD22_7x_0)</f>
        <v>775.02</v>
      </c>
      <c r="E64" s="1"/>
      <c r="F64" s="5">
        <f t="shared" si="38"/>
        <v>1.2081072347544309E-2</v>
      </c>
      <c r="G64" s="1"/>
      <c r="H64" s="1">
        <f>SUM(OSRRefH22_7x_0)</f>
        <v>455.33333333333297</v>
      </c>
      <c r="I64" s="1"/>
      <c r="J64" s="5">
        <f t="shared" si="39"/>
        <v>8.3995892440984522E-3</v>
      </c>
      <c r="K64" s="1"/>
      <c r="L64" s="1">
        <f t="shared" si="40"/>
        <v>319.68666666666701</v>
      </c>
      <c r="M64" s="1"/>
      <c r="N64" s="5">
        <f t="shared" si="41"/>
        <v>0.70209370424597495</v>
      </c>
      <c r="O64" s="14"/>
      <c r="P64" s="1">
        <f>SUM(OSRRefP22_7x_0)</f>
        <v>4075.69</v>
      </c>
      <c r="Q64" s="1"/>
      <c r="R64" s="5">
        <f t="shared" si="42"/>
        <v>3.270219816247167E-2</v>
      </c>
      <c r="S64" s="1"/>
      <c r="T64" s="1">
        <f>SUM(OSRRefT22_7x_0)</f>
        <v>1907.6666666666652</v>
      </c>
      <c r="U64" s="1"/>
      <c r="V64" s="5">
        <f t="shared" si="43"/>
        <v>8.0070962768331398E-3</v>
      </c>
      <c r="W64" s="1"/>
      <c r="X64" s="1">
        <f t="shared" si="44"/>
        <v>2168.0233333333349</v>
      </c>
      <c r="Y64" s="1"/>
      <c r="Z64" s="5">
        <f t="shared" si="45"/>
        <v>1.1364791193430037</v>
      </c>
    </row>
    <row r="65" spans="1:26" s="24" customFormat="1" hidden="1" outlineLevel="2" x14ac:dyDescent="0.25">
      <c r="A65" s="28"/>
      <c r="B65" s="11" t="str">
        <f>CONCATENATE("          ", "6351", " - ", "EQUIPMENT RENTAL")</f>
        <v xml:space="preserve">          6351 - EQUIPMENT RENTAL</v>
      </c>
      <c r="C65" s="11"/>
      <c r="D65" s="6">
        <v>775.02</v>
      </c>
      <c r="E65" s="2"/>
      <c r="F65" s="7">
        <f t="shared" si="38"/>
        <v>1.2081072347544309E-2</v>
      </c>
      <c r="G65" s="2"/>
      <c r="H65" s="6">
        <v>455.33333333333297</v>
      </c>
      <c r="I65" s="2"/>
      <c r="J65" s="7">
        <f t="shared" si="39"/>
        <v>8.3995892440984522E-3</v>
      </c>
      <c r="K65" s="2"/>
      <c r="L65" s="6">
        <f t="shared" si="40"/>
        <v>319.68666666666701</v>
      </c>
      <c r="M65" s="2"/>
      <c r="N65" s="7">
        <f t="shared" si="41"/>
        <v>0.70209370424597495</v>
      </c>
      <c r="O65" s="11"/>
      <c r="P65" s="6">
        <v>4075.69</v>
      </c>
      <c r="Q65" s="2"/>
      <c r="R65" s="7">
        <f t="shared" si="42"/>
        <v>3.270219816247167E-2</v>
      </c>
      <c r="S65" s="2"/>
      <c r="T65" s="6">
        <v>1907.6666666666652</v>
      </c>
      <c r="U65" s="2"/>
      <c r="V65" s="7">
        <f t="shared" si="43"/>
        <v>8.0070962768331398E-3</v>
      </c>
      <c r="W65" s="2"/>
      <c r="X65" s="6">
        <f t="shared" si="44"/>
        <v>2168.0233333333349</v>
      </c>
      <c r="Y65" s="2"/>
      <c r="Z65" s="7">
        <f t="shared" si="45"/>
        <v>1.1364791193430037</v>
      </c>
    </row>
    <row r="66" spans="1:26" s="29" customFormat="1" outlineLevel="1" collapsed="1" x14ac:dyDescent="0.25">
      <c r="A66" s="27"/>
      <c r="B66" s="14" t="str">
        <f>CONCATENATE("     ","Freight out/Postage                               ")</f>
        <v xml:space="preserve">     Freight out/Postage                               </v>
      </c>
      <c r="C66" s="14"/>
      <c r="D66" s="1">
        <f>SUM(OSRRefD22_8x_0)</f>
        <v>9.9</v>
      </c>
      <c r="E66" s="1"/>
      <c r="F66" s="5">
        <f t="shared" si="38"/>
        <v>1.5432197393704507E-4</v>
      </c>
      <c r="G66" s="1"/>
      <c r="H66" s="1">
        <f>SUM(OSRRefH22_8x_0)</f>
        <v>0</v>
      </c>
      <c r="I66" s="1"/>
      <c r="J66" s="5">
        <f t="shared" si="39"/>
        <v>0</v>
      </c>
      <c r="K66" s="1"/>
      <c r="L66" s="1">
        <f t="shared" si="40"/>
        <v>9.9</v>
      </c>
      <c r="M66" s="1"/>
      <c r="N66" s="5">
        <f t="shared" si="41"/>
        <v>0</v>
      </c>
      <c r="O66" s="14"/>
      <c r="P66" s="1">
        <f>SUM(OSRRefP22_8x_0)</f>
        <v>99.92</v>
      </c>
      <c r="Q66" s="1"/>
      <c r="R66" s="5">
        <f t="shared" si="42"/>
        <v>8.0173017093895012E-4</v>
      </c>
      <c r="S66" s="1"/>
      <c r="T66" s="1">
        <f>SUM(OSRRefT22_8x_0)</f>
        <v>0</v>
      </c>
      <c r="U66" s="1"/>
      <c r="V66" s="5">
        <f t="shared" si="43"/>
        <v>0</v>
      </c>
      <c r="W66" s="1"/>
      <c r="X66" s="1">
        <f t="shared" si="44"/>
        <v>99.92</v>
      </c>
      <c r="Y66" s="1"/>
      <c r="Z66" s="5">
        <f t="shared" si="45"/>
        <v>0</v>
      </c>
    </row>
    <row r="67" spans="1:26" s="24" customFormat="1" hidden="1" outlineLevel="2" x14ac:dyDescent="0.25">
      <c r="A67" s="28"/>
      <c r="B67" s="11" t="str">
        <f>CONCATENATE("          ", "6305", " - ", "FREIGHT OUT")</f>
        <v xml:space="preserve">          6305 - FREIGHT OUT</v>
      </c>
      <c r="C67" s="11"/>
      <c r="D67" s="6">
        <v>9.9</v>
      </c>
      <c r="E67" s="2"/>
      <c r="F67" s="7">
        <f t="shared" si="38"/>
        <v>1.5432197393704507E-4</v>
      </c>
      <c r="G67" s="2"/>
      <c r="H67" s="6"/>
      <c r="I67" s="2"/>
      <c r="J67" s="7">
        <f t="shared" si="39"/>
        <v>0</v>
      </c>
      <c r="K67" s="2"/>
      <c r="L67" s="6">
        <f t="shared" si="40"/>
        <v>9.9</v>
      </c>
      <c r="M67" s="2"/>
      <c r="N67" s="7">
        <f t="shared" si="41"/>
        <v>0</v>
      </c>
      <c r="O67" s="11"/>
      <c r="P67" s="6">
        <v>105.33</v>
      </c>
      <c r="Q67" s="2"/>
      <c r="R67" s="7">
        <f t="shared" si="42"/>
        <v>8.4513849984987606E-4</v>
      </c>
      <c r="S67" s="2"/>
      <c r="T67" s="6"/>
      <c r="U67" s="2"/>
      <c r="V67" s="7">
        <f t="shared" si="43"/>
        <v>0</v>
      </c>
      <c r="W67" s="2"/>
      <c r="X67" s="6">
        <f t="shared" si="44"/>
        <v>105.33</v>
      </c>
      <c r="Y67" s="2"/>
      <c r="Z67" s="7">
        <f t="shared" si="45"/>
        <v>0</v>
      </c>
    </row>
    <row r="68" spans="1:26" s="24" customFormat="1" hidden="1" outlineLevel="2" x14ac:dyDescent="0.25">
      <c r="A68" s="28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1"/>
      <c r="P68" s="6">
        <v>-5.41</v>
      </c>
      <c r="Q68" s="2"/>
      <c r="R68" s="7">
        <f t="shared" si="42"/>
        <v>-4.3408328910925943E-5</v>
      </c>
      <c r="S68" s="2"/>
      <c r="T68" s="6"/>
      <c r="U68" s="2"/>
      <c r="V68" s="7">
        <f t="shared" si="43"/>
        <v>0</v>
      </c>
      <c r="W68" s="2"/>
      <c r="X68" s="6">
        <f t="shared" si="44"/>
        <v>-5.41</v>
      </c>
      <c r="Y68" s="2"/>
      <c r="Z68" s="7">
        <f t="shared" si="45"/>
        <v>0</v>
      </c>
    </row>
    <row r="69" spans="1:26" s="29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SUM(OSRRefD22_9x_0)</f>
        <v>870</v>
      </c>
      <c r="E69" s="1"/>
      <c r="F69" s="5">
        <f t="shared" ref="F69:F81" si="46">IF(D$12=0,0,D69/D$12)</f>
        <v>1.3561628012649414E-2</v>
      </c>
      <c r="G69" s="1"/>
      <c r="H69" s="1">
        <f>SUM(OSRRefH22_9x_0)</f>
        <v>0</v>
      </c>
      <c r="I69" s="1"/>
      <c r="J69" s="5">
        <f t="shared" ref="J69:J81" si="47">IF(H$12=0,0,H69/H$12)</f>
        <v>0</v>
      </c>
      <c r="K69" s="1"/>
      <c r="L69" s="1">
        <f t="shared" ref="L69:L81" si="48">+D69-H69</f>
        <v>870</v>
      </c>
      <c r="M69" s="1"/>
      <c r="N69" s="5">
        <f t="shared" ref="N69:N81" si="49">IF(H69=0,0,L69/H69)</f>
        <v>0</v>
      </c>
      <c r="O69" s="14"/>
      <c r="P69" s="1">
        <f>SUM(OSRRefP22_9x_0)</f>
        <v>6145.55</v>
      </c>
      <c r="Q69" s="1"/>
      <c r="R69" s="5">
        <f t="shared" ref="R69:R81" si="50">IF(P$12=0,0,P69/P$12)</f>
        <v>4.9310176661467822E-2</v>
      </c>
      <c r="S69" s="1"/>
      <c r="T69" s="1">
        <f>SUM(OSRRefT22_9x_0)</f>
        <v>7505</v>
      </c>
      <c r="U69" s="1"/>
      <c r="V69" s="5">
        <f t="shared" ref="V69:V81" si="51">IF(T$12=0,0,T69/T$12)</f>
        <v>3.1500921312755246E-2</v>
      </c>
      <c r="W69" s="1"/>
      <c r="X69" s="1">
        <f t="shared" ref="X69:X81" si="52">+P69-T69</f>
        <v>-1359.4499999999998</v>
      </c>
      <c r="Y69" s="1"/>
      <c r="Z69" s="5">
        <f t="shared" ref="Z69:Z81" si="53">IF(T69=0,0,X69/T69)</f>
        <v>-0.1811392405063291</v>
      </c>
    </row>
    <row r="70" spans="1:26" s="24" customFormat="1" hidden="1" outlineLevel="2" x14ac:dyDescent="0.25">
      <c r="A70" s="28"/>
      <c r="B70" s="11" t="str">
        <f>CONCATENATE("          ", "6279", " - ", "GENERAL EXPENSE")</f>
        <v xml:space="preserve">          6279 - GENERAL EXPENSE</v>
      </c>
      <c r="C70" s="11"/>
      <c r="D70" s="6">
        <v>870</v>
      </c>
      <c r="E70" s="2"/>
      <c r="F70" s="7">
        <f t="shared" si="46"/>
        <v>1.3561628012649414E-2</v>
      </c>
      <c r="G70" s="2"/>
      <c r="H70" s="6">
        <v>0</v>
      </c>
      <c r="I70" s="2"/>
      <c r="J70" s="7">
        <f t="shared" si="47"/>
        <v>0</v>
      </c>
      <c r="K70" s="2"/>
      <c r="L70" s="6">
        <f t="shared" si="48"/>
        <v>870</v>
      </c>
      <c r="M70" s="2"/>
      <c r="N70" s="7">
        <f t="shared" si="49"/>
        <v>0</v>
      </c>
      <c r="O70" s="11"/>
      <c r="P70" s="6">
        <v>6145.55</v>
      </c>
      <c r="Q70" s="2"/>
      <c r="R70" s="7">
        <f t="shared" si="50"/>
        <v>4.9310176661467822E-2</v>
      </c>
      <c r="S70" s="2"/>
      <c r="T70" s="6">
        <v>7505</v>
      </c>
      <c r="U70" s="2"/>
      <c r="V70" s="7">
        <f t="shared" si="51"/>
        <v>3.1500921312755246E-2</v>
      </c>
      <c r="W70" s="2"/>
      <c r="X70" s="6">
        <f t="shared" si="52"/>
        <v>-1359.4499999999998</v>
      </c>
      <c r="Y70" s="2"/>
      <c r="Z70" s="7">
        <f t="shared" si="53"/>
        <v>-0.1811392405063291</v>
      </c>
    </row>
    <row r="71" spans="1:26" s="29" customFormat="1" outlineLevel="1" collapsed="1" x14ac:dyDescent="0.25">
      <c r="A71" s="27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SUM(OSRRefD22_10x_0)</f>
        <v>4483.67</v>
      </c>
      <c r="E71" s="1"/>
      <c r="F71" s="5">
        <f t="shared" si="46"/>
        <v>6.9891798472960689E-2</v>
      </c>
      <c r="G71" s="1"/>
      <c r="H71" s="1">
        <f>SUM(OSRRefH22_10x_0)</f>
        <v>4835</v>
      </c>
      <c r="I71" s="1"/>
      <c r="J71" s="5">
        <f t="shared" si="47"/>
        <v>8.9191831614676531E-2</v>
      </c>
      <c r="K71" s="1"/>
      <c r="L71" s="1">
        <f t="shared" si="48"/>
        <v>-351.32999999999993</v>
      </c>
      <c r="M71" s="1"/>
      <c r="N71" s="5">
        <f t="shared" si="49"/>
        <v>-7.2663908996897605E-2</v>
      </c>
      <c r="O71" s="14"/>
      <c r="P71" s="1">
        <f>SUM(OSRRefP22_10x_0)</f>
        <v>28530.350000000002</v>
      </c>
      <c r="Q71" s="1"/>
      <c r="R71" s="5">
        <f t="shared" si="50"/>
        <v>0.22891955947205841</v>
      </c>
      <c r="S71" s="1"/>
      <c r="T71" s="1">
        <f>SUM(OSRRefT22_10x_0)</f>
        <v>24175</v>
      </c>
      <c r="U71" s="1"/>
      <c r="V71" s="5">
        <f t="shared" si="51"/>
        <v>0.10147032281623693</v>
      </c>
      <c r="W71" s="1"/>
      <c r="X71" s="1">
        <f t="shared" si="52"/>
        <v>4355.3500000000022</v>
      </c>
      <c r="Y71" s="1"/>
      <c r="Z71" s="5">
        <f t="shared" si="53"/>
        <v>0.18015925542916245</v>
      </c>
    </row>
    <row r="72" spans="1:26" s="24" customFormat="1" hidden="1" outlineLevel="2" x14ac:dyDescent="0.25">
      <c r="A72" s="28"/>
      <c r="B72" s="11" t="str">
        <f>CONCATENATE("          ", "6314", " - ", "LIABILITY INSURANCE")</f>
        <v xml:space="preserve">          6314 - LIABILITY INSURANCE</v>
      </c>
      <c r="C72" s="11"/>
      <c r="D72" s="6">
        <v>4483.67</v>
      </c>
      <c r="E72" s="2"/>
      <c r="F72" s="7">
        <f t="shared" si="46"/>
        <v>6.9891798472960689E-2</v>
      </c>
      <c r="G72" s="2"/>
      <c r="H72" s="6">
        <v>4835</v>
      </c>
      <c r="I72" s="2"/>
      <c r="J72" s="7">
        <f t="shared" si="47"/>
        <v>8.9191831614676531E-2</v>
      </c>
      <c r="K72" s="2"/>
      <c r="L72" s="6">
        <f t="shared" si="48"/>
        <v>-351.32999999999993</v>
      </c>
      <c r="M72" s="2"/>
      <c r="N72" s="7">
        <f t="shared" si="49"/>
        <v>-7.2663908996897605E-2</v>
      </c>
      <c r="O72" s="11"/>
      <c r="P72" s="6">
        <v>28530.350000000002</v>
      </c>
      <c r="Q72" s="2"/>
      <c r="R72" s="7">
        <f t="shared" si="50"/>
        <v>0.22891955947205841</v>
      </c>
      <c r="S72" s="2"/>
      <c r="T72" s="6">
        <v>24175</v>
      </c>
      <c r="U72" s="2"/>
      <c r="V72" s="7">
        <f t="shared" si="51"/>
        <v>0.10147032281623693</v>
      </c>
      <c r="W72" s="2"/>
      <c r="X72" s="6">
        <f t="shared" si="52"/>
        <v>4355.3500000000022</v>
      </c>
      <c r="Y72" s="2"/>
      <c r="Z72" s="7">
        <f t="shared" si="53"/>
        <v>0.18015925542916245</v>
      </c>
    </row>
    <row r="73" spans="1:26" s="29" customFormat="1" outlineLevel="1" collapsed="1" x14ac:dyDescent="0.25">
      <c r="A73" s="27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SUM(OSRRefD22_11x_0)</f>
        <v>11554</v>
      </c>
      <c r="E73" s="1"/>
      <c r="F73" s="5">
        <f t="shared" si="46"/>
        <v>0.1801046552392544</v>
      </c>
      <c r="G73" s="1"/>
      <c r="H73" s="1">
        <f>SUM(OSRRefH22_11x_0)</f>
        <v>11554</v>
      </c>
      <c r="I73" s="1"/>
      <c r="J73" s="5">
        <f t="shared" si="47"/>
        <v>0.21313803980888782</v>
      </c>
      <c r="K73" s="1"/>
      <c r="L73" s="1">
        <f t="shared" si="48"/>
        <v>0</v>
      </c>
      <c r="M73" s="1"/>
      <c r="N73" s="5">
        <f t="shared" si="49"/>
        <v>0</v>
      </c>
      <c r="O73" s="14"/>
      <c r="P73" s="1">
        <f>SUM(OSRRefP22_11x_0)</f>
        <v>57021</v>
      </c>
      <c r="Q73" s="1"/>
      <c r="R73" s="5">
        <f t="shared" si="50"/>
        <v>0.45752057723288503</v>
      </c>
      <c r="S73" s="1"/>
      <c r="T73" s="1">
        <f>SUM(OSRRefT22_11x_0)</f>
        <v>57770</v>
      </c>
      <c r="U73" s="1"/>
      <c r="V73" s="5">
        <f t="shared" si="51"/>
        <v>0.24247944360264767</v>
      </c>
      <c r="W73" s="1"/>
      <c r="X73" s="1">
        <f t="shared" si="52"/>
        <v>-749</v>
      </c>
      <c r="Y73" s="1"/>
      <c r="Z73" s="5">
        <f t="shared" si="53"/>
        <v>-1.2965206854768912E-2</v>
      </c>
    </row>
    <row r="74" spans="1:26" s="24" customFormat="1" hidden="1" outlineLevel="2" x14ac:dyDescent="0.25">
      <c r="A74" s="28"/>
      <c r="B74" s="11" t="str">
        <f>CONCATENATE("          ", "6401", " - ", "INTEREST EXPENSE")</f>
        <v xml:space="preserve">          6401 - INTEREST EXPENSE</v>
      </c>
      <c r="C74" s="11"/>
      <c r="D74" s="6">
        <v>11554</v>
      </c>
      <c r="E74" s="2"/>
      <c r="F74" s="7">
        <f t="shared" si="46"/>
        <v>0.1801046552392544</v>
      </c>
      <c r="G74" s="2"/>
      <c r="H74" s="6">
        <v>11554</v>
      </c>
      <c r="I74" s="2"/>
      <c r="J74" s="7">
        <f t="shared" si="47"/>
        <v>0.21313803980888782</v>
      </c>
      <c r="K74" s="2"/>
      <c r="L74" s="6">
        <f t="shared" si="48"/>
        <v>0</v>
      </c>
      <c r="M74" s="2"/>
      <c r="N74" s="7">
        <f t="shared" si="49"/>
        <v>0</v>
      </c>
      <c r="O74" s="11"/>
      <c r="P74" s="6">
        <v>57021</v>
      </c>
      <c r="Q74" s="2"/>
      <c r="R74" s="7">
        <f t="shared" si="50"/>
        <v>0.45752057723288503</v>
      </c>
      <c r="S74" s="2"/>
      <c r="T74" s="6">
        <v>57770</v>
      </c>
      <c r="U74" s="2"/>
      <c r="V74" s="7">
        <f t="shared" si="51"/>
        <v>0.24247944360264767</v>
      </c>
      <c r="W74" s="2"/>
      <c r="X74" s="6">
        <f t="shared" si="52"/>
        <v>-749</v>
      </c>
      <c r="Y74" s="2"/>
      <c r="Z74" s="7">
        <f t="shared" si="53"/>
        <v>-1.2965206854768912E-2</v>
      </c>
    </row>
    <row r="75" spans="1:26" s="29" customFormat="1" outlineLevel="1" collapsed="1" x14ac:dyDescent="0.25">
      <c r="A75" s="27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SUM(OSRRefD22_12x_0)</f>
        <v>0</v>
      </c>
      <c r="E75" s="1"/>
      <c r="F75" s="5">
        <f t="shared" si="46"/>
        <v>0</v>
      </c>
      <c r="G75" s="1"/>
      <c r="H75" s="1">
        <f>SUM(OSRRefH22_12x_0)</f>
        <v>1943</v>
      </c>
      <c r="I75" s="1"/>
      <c r="J75" s="5">
        <f t="shared" si="47"/>
        <v>3.5842756737811066E-2</v>
      </c>
      <c r="K75" s="1"/>
      <c r="L75" s="1">
        <f t="shared" si="48"/>
        <v>-1943</v>
      </c>
      <c r="M75" s="1"/>
      <c r="N75" s="5">
        <f t="shared" si="49"/>
        <v>-1</v>
      </c>
      <c r="O75" s="14"/>
      <c r="P75" s="1">
        <f>SUM(OSRRefP22_12x_0)</f>
        <v>5550</v>
      </c>
      <c r="Q75" s="1"/>
      <c r="R75" s="5">
        <f t="shared" si="50"/>
        <v>4.4531649806957299E-2</v>
      </c>
      <c r="S75" s="1"/>
      <c r="T75" s="1">
        <f>SUM(OSRRefT22_12x_0)</f>
        <v>9715</v>
      </c>
      <c r="U75" s="1"/>
      <c r="V75" s="5">
        <f t="shared" si="51"/>
        <v>4.0777008734632546E-2</v>
      </c>
      <c r="W75" s="1"/>
      <c r="X75" s="1">
        <f t="shared" si="52"/>
        <v>-4165</v>
      </c>
      <c r="Y75" s="1"/>
      <c r="Z75" s="5">
        <f t="shared" si="53"/>
        <v>-0.4287184765826042</v>
      </c>
    </row>
    <row r="76" spans="1:26" s="24" customFormat="1" hidden="1" outlineLevel="2" x14ac:dyDescent="0.25">
      <c r="A76" s="28"/>
      <c r="B76" s="11" t="str">
        <f>CONCATENATE("          ", "6273", " - ", "RENT")</f>
        <v xml:space="preserve">          6273 - RENT</v>
      </c>
      <c r="C76" s="11"/>
      <c r="D76" s="6"/>
      <c r="E76" s="2"/>
      <c r="F76" s="7">
        <f t="shared" si="46"/>
        <v>0</v>
      </c>
      <c r="G76" s="2"/>
      <c r="H76" s="6">
        <v>1943</v>
      </c>
      <c r="I76" s="2"/>
      <c r="J76" s="7">
        <f t="shared" si="47"/>
        <v>3.5842756737811066E-2</v>
      </c>
      <c r="K76" s="2"/>
      <c r="L76" s="6">
        <f t="shared" si="48"/>
        <v>-1943</v>
      </c>
      <c r="M76" s="2"/>
      <c r="N76" s="7">
        <f t="shared" si="49"/>
        <v>-1</v>
      </c>
      <c r="O76" s="11"/>
      <c r="P76" s="6">
        <v>5550</v>
      </c>
      <c r="Q76" s="2"/>
      <c r="R76" s="7">
        <f t="shared" si="50"/>
        <v>4.4531649806957299E-2</v>
      </c>
      <c r="S76" s="2"/>
      <c r="T76" s="6">
        <v>9715</v>
      </c>
      <c r="U76" s="2"/>
      <c r="V76" s="7">
        <f t="shared" si="51"/>
        <v>4.0777008734632546E-2</v>
      </c>
      <c r="W76" s="2"/>
      <c r="X76" s="6">
        <f t="shared" si="52"/>
        <v>-4165</v>
      </c>
      <c r="Y76" s="2"/>
      <c r="Z76" s="7">
        <f t="shared" si="53"/>
        <v>-0.4287184765826042</v>
      </c>
    </row>
    <row r="77" spans="1:26" s="29" customFormat="1" outlineLevel="1" collapsed="1" x14ac:dyDescent="0.25">
      <c r="A77" s="27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SUM(OSRRefD22_13x_0)</f>
        <v>4046.8</v>
      </c>
      <c r="E77" s="1"/>
      <c r="F77" s="5">
        <f t="shared" si="46"/>
        <v>6.3081834760447875E-2</v>
      </c>
      <c r="G77" s="1"/>
      <c r="H77" s="1">
        <f>SUM(OSRRefH22_13x_0)</f>
        <v>4240</v>
      </c>
      <c r="I77" s="1"/>
      <c r="J77" s="5">
        <f t="shared" si="47"/>
        <v>7.8215794425279941E-2</v>
      </c>
      <c r="K77" s="1"/>
      <c r="L77" s="1">
        <f t="shared" si="48"/>
        <v>-193.19999999999982</v>
      </c>
      <c r="M77" s="1"/>
      <c r="N77" s="5">
        <f t="shared" si="49"/>
        <v>-4.556603773584901E-2</v>
      </c>
      <c r="O77" s="14"/>
      <c r="P77" s="1">
        <f>SUM(OSRRefP22_13x_0)</f>
        <v>20162.66</v>
      </c>
      <c r="Q77" s="1"/>
      <c r="R77" s="5">
        <f t="shared" si="50"/>
        <v>0.16177955212553974</v>
      </c>
      <c r="S77" s="1"/>
      <c r="T77" s="1">
        <f>SUM(OSRRefT22_13x_0)</f>
        <v>14999</v>
      </c>
      <c r="U77" s="1"/>
      <c r="V77" s="5">
        <f t="shared" si="51"/>
        <v>6.2955672054632372E-2</v>
      </c>
      <c r="W77" s="1"/>
      <c r="X77" s="1">
        <f t="shared" si="52"/>
        <v>5163.66</v>
      </c>
      <c r="Y77" s="1"/>
      <c r="Z77" s="5">
        <f t="shared" si="53"/>
        <v>0.34426695113007533</v>
      </c>
    </row>
    <row r="78" spans="1:26" s="24" customFormat="1" hidden="1" outlineLevel="2" x14ac:dyDescent="0.25">
      <c r="A78" s="28"/>
      <c r="B78" s="11" t="str">
        <f>CONCATENATE("          ", "6371", " - ", "COMPUTER SOFTWARE MAINTENANCE")</f>
        <v xml:space="preserve">          6371 - COMPUTER SOFTWARE MAINTENANCE</v>
      </c>
      <c r="C78" s="11"/>
      <c r="D78" s="6"/>
      <c r="E78" s="2"/>
      <c r="F78" s="7">
        <f t="shared" si="46"/>
        <v>0</v>
      </c>
      <c r="G78" s="2"/>
      <c r="H78" s="6"/>
      <c r="I78" s="2"/>
      <c r="J78" s="7">
        <f t="shared" si="47"/>
        <v>0</v>
      </c>
      <c r="K78" s="2"/>
      <c r="L78" s="6">
        <f t="shared" si="48"/>
        <v>0</v>
      </c>
      <c r="M78" s="2"/>
      <c r="N78" s="7">
        <f t="shared" si="49"/>
        <v>0</v>
      </c>
      <c r="O78" s="11"/>
      <c r="P78" s="6"/>
      <c r="Q78" s="2"/>
      <c r="R78" s="7">
        <f t="shared" si="50"/>
        <v>0</v>
      </c>
      <c r="S78" s="2"/>
      <c r="T78" s="6">
        <v>43</v>
      </c>
      <c r="U78" s="2"/>
      <c r="V78" s="7">
        <f t="shared" si="51"/>
        <v>1.804849588872053E-4</v>
      </c>
      <c r="W78" s="2"/>
      <c r="X78" s="6">
        <f t="shared" si="52"/>
        <v>-43</v>
      </c>
      <c r="Y78" s="2"/>
      <c r="Z78" s="7">
        <f t="shared" si="53"/>
        <v>-1</v>
      </c>
    </row>
    <row r="79" spans="1:26" s="24" customFormat="1" hidden="1" outlineLevel="2" x14ac:dyDescent="0.25">
      <c r="A79" s="28"/>
      <c r="B79" s="11" t="str">
        <f>CONCATENATE("          ", "6372", " - ", "COMPUTER HARDWARE MAINTENANCE")</f>
        <v xml:space="preserve">          6372 - COMPUTER HARDWARE MAINTENANCE</v>
      </c>
      <c r="C79" s="11"/>
      <c r="D79" s="6"/>
      <c r="E79" s="2"/>
      <c r="F79" s="7">
        <f t="shared" si="46"/>
        <v>0</v>
      </c>
      <c r="G79" s="2"/>
      <c r="H79" s="6"/>
      <c r="I79" s="2"/>
      <c r="J79" s="7">
        <f t="shared" si="47"/>
        <v>0</v>
      </c>
      <c r="K79" s="2"/>
      <c r="L79" s="6">
        <f t="shared" si="48"/>
        <v>0</v>
      </c>
      <c r="M79" s="2"/>
      <c r="N79" s="7">
        <f t="shared" si="49"/>
        <v>0</v>
      </c>
      <c r="O79" s="11"/>
      <c r="P79" s="6"/>
      <c r="Q79" s="2"/>
      <c r="R79" s="7">
        <f t="shared" si="50"/>
        <v>0</v>
      </c>
      <c r="S79" s="2"/>
      <c r="T79" s="6">
        <v>437</v>
      </c>
      <c r="U79" s="2"/>
      <c r="V79" s="7">
        <f t="shared" si="51"/>
        <v>1.8342308612490398E-3</v>
      </c>
      <c r="W79" s="2"/>
      <c r="X79" s="6">
        <f t="shared" si="52"/>
        <v>-437</v>
      </c>
      <c r="Y79" s="2"/>
      <c r="Z79" s="7">
        <f t="shared" si="53"/>
        <v>-1</v>
      </c>
    </row>
    <row r="80" spans="1:26" s="24" customFormat="1" hidden="1" outlineLevel="2" x14ac:dyDescent="0.25">
      <c r="A80" s="28"/>
      <c r="B80" s="11" t="str">
        <f>CONCATENATE("          ", "6373", " - ", "MAINTENANCE CONTRACTS")</f>
        <v xml:space="preserve">          6373 - MAINTENANCE CONTRACTS</v>
      </c>
      <c r="C80" s="11"/>
      <c r="D80" s="6">
        <v>900.01</v>
      </c>
      <c r="E80" s="2"/>
      <c r="F80" s="7">
        <f t="shared" si="46"/>
        <v>1.4029426238694942E-2</v>
      </c>
      <c r="G80" s="2"/>
      <c r="H80" s="6">
        <v>1805</v>
      </c>
      <c r="I80" s="2"/>
      <c r="J80" s="7">
        <f t="shared" si="47"/>
        <v>3.3297053994724123E-2</v>
      </c>
      <c r="K80" s="2"/>
      <c r="L80" s="6">
        <f t="shared" si="48"/>
        <v>-904.99</v>
      </c>
      <c r="M80" s="2"/>
      <c r="N80" s="7">
        <f t="shared" si="49"/>
        <v>-0.5013795013850415</v>
      </c>
      <c r="O80" s="11"/>
      <c r="P80" s="6">
        <v>10432.34</v>
      </c>
      <c r="Q80" s="2"/>
      <c r="R80" s="7">
        <f t="shared" si="50"/>
        <v>8.3706182260741058E-2</v>
      </c>
      <c r="S80" s="2"/>
      <c r="T80" s="6">
        <v>2011</v>
      </c>
      <c r="U80" s="2"/>
      <c r="V80" s="7">
        <f t="shared" si="51"/>
        <v>8.4408198214458111E-3</v>
      </c>
      <c r="W80" s="2"/>
      <c r="X80" s="6">
        <f t="shared" si="52"/>
        <v>8421.34</v>
      </c>
      <c r="Y80" s="2"/>
      <c r="Z80" s="7">
        <f t="shared" si="53"/>
        <v>4.187637991049229</v>
      </c>
    </row>
    <row r="81" spans="1:26" s="24" customFormat="1" hidden="1" outlineLevel="2" x14ac:dyDescent="0.25">
      <c r="A81" s="28"/>
      <c r="B81" s="11" t="str">
        <f>CONCATENATE("          ", "6375", " - ", "OUTSIDE REPAIRS &amp; MAINTENANCE")</f>
        <v xml:space="preserve">          6375 - OUTSIDE REPAIRS &amp; MAINTENANCE</v>
      </c>
      <c r="C81" s="11"/>
      <c r="D81" s="6">
        <v>3146.79</v>
      </c>
      <c r="E81" s="2"/>
      <c r="F81" s="7">
        <f t="shared" si="46"/>
        <v>4.9052408521752931E-2</v>
      </c>
      <c r="G81" s="2"/>
      <c r="H81" s="6">
        <v>2435</v>
      </c>
      <c r="I81" s="2"/>
      <c r="J81" s="7">
        <f t="shared" si="47"/>
        <v>4.4918740430555812E-2</v>
      </c>
      <c r="K81" s="2"/>
      <c r="L81" s="6">
        <f t="shared" si="48"/>
        <v>711.79</v>
      </c>
      <c r="M81" s="2"/>
      <c r="N81" s="7">
        <f t="shared" si="49"/>
        <v>0.29231622176591376</v>
      </c>
      <c r="O81" s="11"/>
      <c r="P81" s="6">
        <v>9730.32</v>
      </c>
      <c r="Q81" s="2"/>
      <c r="R81" s="7">
        <f t="shared" si="50"/>
        <v>7.8073369864798681E-2</v>
      </c>
      <c r="S81" s="2"/>
      <c r="T81" s="6">
        <v>12508</v>
      </c>
      <c r="U81" s="2"/>
      <c r="V81" s="7">
        <f t="shared" si="51"/>
        <v>5.2500136413050319E-2</v>
      </c>
      <c r="W81" s="2"/>
      <c r="X81" s="6">
        <f t="shared" si="52"/>
        <v>-2777.6800000000003</v>
      </c>
      <c r="Y81" s="2"/>
      <c r="Z81" s="7">
        <f t="shared" si="53"/>
        <v>-0.22207227374480334</v>
      </c>
    </row>
    <row r="82" spans="1:26" s="29" customFormat="1" outlineLevel="1" collapsed="1" x14ac:dyDescent="0.25">
      <c r="A82" s="27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SUM(OSRRefD22_14x_0)</f>
        <v>0</v>
      </c>
      <c r="E82" s="1"/>
      <c r="F82" s="5">
        <f t="shared" ref="F82:F84" si="54">IF(D$12=0,0,D82/D$12)</f>
        <v>0</v>
      </c>
      <c r="G82" s="1"/>
      <c r="H82" s="1">
        <f>SUM(OSRRefH22_14x_0)</f>
        <v>630</v>
      </c>
      <c r="I82" s="1"/>
      <c r="J82" s="5">
        <f t="shared" ref="J82:J84" si="55">IF(H$12=0,0,H82/H$12)</f>
        <v>1.1621686435831689E-2</v>
      </c>
      <c r="K82" s="1"/>
      <c r="L82" s="1">
        <f t="shared" ref="L82:L84" si="56">+D82-H82</f>
        <v>-630</v>
      </c>
      <c r="M82" s="1"/>
      <c r="N82" s="5">
        <f t="shared" ref="N82:N84" si="57">IF(H82=0,0,L82/H82)</f>
        <v>-1</v>
      </c>
      <c r="O82" s="14"/>
      <c r="P82" s="1">
        <f>SUM(OSRRefP22_14x_0)</f>
        <v>185.7</v>
      </c>
      <c r="Q82" s="1"/>
      <c r="R82" s="5">
        <f t="shared" ref="R82:R84" si="58">IF(P$12=0,0,P82/P$12)</f>
        <v>1.4900049313787333E-3</v>
      </c>
      <c r="S82" s="1"/>
      <c r="T82" s="1">
        <f>SUM(OSRRefT22_14x_0)</f>
        <v>2725</v>
      </c>
      <c r="U82" s="1"/>
      <c r="V82" s="5">
        <f t="shared" ref="V82:V84" si="59">IF(T$12=0,0,T82/T$12)</f>
        <v>1.1437709603898475E-2</v>
      </c>
      <c r="W82" s="1"/>
      <c r="X82" s="1">
        <f t="shared" ref="X82:X84" si="60">+P82-T82</f>
        <v>-2539.3000000000002</v>
      </c>
      <c r="Y82" s="1"/>
      <c r="Z82" s="5">
        <f t="shared" ref="Z82:Z84" si="61">IF(T82=0,0,X82/T82)</f>
        <v>-0.9318532110091744</v>
      </c>
    </row>
    <row r="83" spans="1:26" s="24" customFormat="1" hidden="1" outlineLevel="2" x14ac:dyDescent="0.25">
      <c r="A83" s="28"/>
      <c r="B83" s="11" t="str">
        <f>CONCATENATE("          ", "6254", " - ", "ROYALTY &amp; COMMISSIONS")</f>
        <v xml:space="preserve">          6254 - ROYALTY &amp; COMMISSIONS</v>
      </c>
      <c r="C83" s="11"/>
      <c r="D83" s="6"/>
      <c r="E83" s="2"/>
      <c r="F83" s="7">
        <f t="shared" si="54"/>
        <v>0</v>
      </c>
      <c r="G83" s="2"/>
      <c r="H83" s="6">
        <v>0</v>
      </c>
      <c r="I83" s="2"/>
      <c r="J83" s="7">
        <f t="shared" si="55"/>
        <v>0</v>
      </c>
      <c r="K83" s="2"/>
      <c r="L83" s="6">
        <f t="shared" si="56"/>
        <v>0</v>
      </c>
      <c r="M83" s="2"/>
      <c r="N83" s="7">
        <f t="shared" si="57"/>
        <v>0</v>
      </c>
      <c r="O83" s="11"/>
      <c r="P83" s="6">
        <v>185.7</v>
      </c>
      <c r="Q83" s="2"/>
      <c r="R83" s="7">
        <f t="shared" si="58"/>
        <v>1.4900049313787333E-3</v>
      </c>
      <c r="S83" s="2"/>
      <c r="T83" s="6">
        <v>0</v>
      </c>
      <c r="U83" s="2"/>
      <c r="V83" s="7">
        <f t="shared" si="59"/>
        <v>0</v>
      </c>
      <c r="W83" s="2"/>
      <c r="X83" s="6">
        <f t="shared" si="60"/>
        <v>185.7</v>
      </c>
      <c r="Y83" s="2"/>
      <c r="Z83" s="7">
        <f t="shared" si="61"/>
        <v>0</v>
      </c>
    </row>
    <row r="84" spans="1:26" s="24" customFormat="1" hidden="1" outlineLevel="2" x14ac:dyDescent="0.25">
      <c r="A84" s="28"/>
      <c r="B84" s="11" t="str">
        <f>CONCATENATE("          ", "6259", " - ", "ROYALTY &amp; COMMISSIONS")</f>
        <v xml:space="preserve">          6259 - ROYALTY &amp; COMMISSIONS</v>
      </c>
      <c r="C84" s="11"/>
      <c r="D84" s="6"/>
      <c r="E84" s="2"/>
      <c r="F84" s="7">
        <f t="shared" si="54"/>
        <v>0</v>
      </c>
      <c r="G84" s="2"/>
      <c r="H84" s="6">
        <v>630</v>
      </c>
      <c r="I84" s="2"/>
      <c r="J84" s="7">
        <f t="shared" si="55"/>
        <v>1.1621686435831689E-2</v>
      </c>
      <c r="K84" s="2"/>
      <c r="L84" s="6">
        <f t="shared" si="56"/>
        <v>-630</v>
      </c>
      <c r="M84" s="2"/>
      <c r="N84" s="7">
        <f t="shared" si="57"/>
        <v>-1</v>
      </c>
      <c r="O84" s="11"/>
      <c r="P84" s="6"/>
      <c r="Q84" s="2"/>
      <c r="R84" s="7">
        <f t="shared" si="58"/>
        <v>0</v>
      </c>
      <c r="S84" s="2"/>
      <c r="T84" s="6">
        <v>2725</v>
      </c>
      <c r="U84" s="2"/>
      <c r="V84" s="7">
        <f t="shared" si="59"/>
        <v>1.1437709603898475E-2</v>
      </c>
      <c r="W84" s="2"/>
      <c r="X84" s="6">
        <f t="shared" si="60"/>
        <v>-2725</v>
      </c>
      <c r="Y84" s="2"/>
      <c r="Z84" s="7">
        <f t="shared" si="61"/>
        <v>-1</v>
      </c>
    </row>
    <row r="85" spans="1:26" s="29" customFormat="1" outlineLevel="1" collapsed="1" x14ac:dyDescent="0.25">
      <c r="A85" s="27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SUM(OSRRefD22_15x_0)</f>
        <v>8878.44</v>
      </c>
      <c r="E85" s="1"/>
      <c r="F85" s="5">
        <f t="shared" ref="F85:F90" si="62">IF(D$12=0,0,D85/D$12)</f>
        <v>0.13839781679612306</v>
      </c>
      <c r="G85" s="1"/>
      <c r="H85" s="1">
        <f>SUM(OSRRefH22_15x_0)</f>
        <v>7972</v>
      </c>
      <c r="I85" s="1"/>
      <c r="J85" s="5">
        <f t="shared" ref="J85:J90" si="63">IF(H$12=0,0,H85/H$12)</f>
        <v>0.14706045121658765</v>
      </c>
      <c r="K85" s="1"/>
      <c r="L85" s="1">
        <f t="shared" ref="L85:L90" si="64">+D85-H85</f>
        <v>906.44000000000051</v>
      </c>
      <c r="M85" s="1"/>
      <c r="N85" s="5">
        <f t="shared" ref="N85:N90" si="65">IF(H85=0,0,L85/H85)</f>
        <v>0.1137029603612645</v>
      </c>
      <c r="O85" s="14"/>
      <c r="P85" s="1">
        <f>SUM(OSRRefP22_15x_0)</f>
        <v>24884.47</v>
      </c>
      <c r="Q85" s="1"/>
      <c r="R85" s="5">
        <f t="shared" ref="R85:R90" si="66">IF(P$12=0,0,P85/P$12)</f>
        <v>0.19966603669760985</v>
      </c>
      <c r="S85" s="1"/>
      <c r="T85" s="1">
        <f>SUM(OSRRefT22_15x_0)</f>
        <v>37026</v>
      </c>
      <c r="U85" s="1"/>
      <c r="V85" s="5">
        <f t="shared" ref="V85:V90" si="67">IF(T$12=0,0,T85/T$12)</f>
        <v>0.15541014157575961</v>
      </c>
      <c r="W85" s="1"/>
      <c r="X85" s="1">
        <f t="shared" ref="X85:X90" si="68">+P85-T85</f>
        <v>-12141.529999999999</v>
      </c>
      <c r="Y85" s="1"/>
      <c r="Z85" s="5">
        <f t="shared" ref="Z85:Z90" si="69">IF(T85=0,0,X85/T85)</f>
        <v>-0.32791902987090149</v>
      </c>
    </row>
    <row r="86" spans="1:26" s="24" customFormat="1" hidden="1" outlineLevel="2" x14ac:dyDescent="0.25">
      <c r="A86" s="28"/>
      <c r="B86" s="11" t="str">
        <f>CONCATENATE("          ", "6282", " - ", "JANITORIAL/EXTERMINATOR EXPENS")</f>
        <v xml:space="preserve">          6282 - JANITORIAL/EXTERMINATOR EXPENS</v>
      </c>
      <c r="C86" s="11"/>
      <c r="D86" s="6">
        <v>41</v>
      </c>
      <c r="E86" s="2"/>
      <c r="F86" s="7">
        <f t="shared" si="62"/>
        <v>6.3911120519382302E-4</v>
      </c>
      <c r="G86" s="2"/>
      <c r="H86" s="6">
        <v>955</v>
      </c>
      <c r="I86" s="2"/>
      <c r="J86" s="7">
        <f t="shared" si="63"/>
        <v>1.7617000867014704E-2</v>
      </c>
      <c r="K86" s="2"/>
      <c r="L86" s="6">
        <f t="shared" si="64"/>
        <v>-914</v>
      </c>
      <c r="M86" s="2"/>
      <c r="N86" s="7">
        <f t="shared" si="65"/>
        <v>-0.95706806282722512</v>
      </c>
      <c r="O86" s="11"/>
      <c r="P86" s="6">
        <v>1623.49</v>
      </c>
      <c r="Q86" s="2"/>
      <c r="R86" s="7">
        <f t="shared" si="66"/>
        <v>1.3026430296413892E-2</v>
      </c>
      <c r="S86" s="2"/>
      <c r="T86" s="6">
        <v>5089</v>
      </c>
      <c r="U86" s="2"/>
      <c r="V86" s="7">
        <f t="shared" si="67"/>
        <v>2.1360185018069484E-2</v>
      </c>
      <c r="W86" s="2"/>
      <c r="X86" s="6">
        <f t="shared" si="68"/>
        <v>-3465.51</v>
      </c>
      <c r="Y86" s="2"/>
      <c r="Z86" s="7">
        <f t="shared" si="69"/>
        <v>-0.68098054627628224</v>
      </c>
    </row>
    <row r="87" spans="1:26" s="24" customFormat="1" hidden="1" outlineLevel="2" x14ac:dyDescent="0.25">
      <c r="A87" s="28"/>
      <c r="B87" s="11" t="str">
        <f>CONCATENATE("          ", "6283", " - ", "PLANT SERVICE")</f>
        <v xml:space="preserve">          6283 - PLANT SERVICE</v>
      </c>
      <c r="C87" s="11"/>
      <c r="D87" s="6"/>
      <c r="E87" s="2"/>
      <c r="F87" s="7">
        <f t="shared" si="62"/>
        <v>0</v>
      </c>
      <c r="G87" s="2"/>
      <c r="H87" s="6">
        <v>62</v>
      </c>
      <c r="I87" s="2"/>
      <c r="J87" s="7">
        <f t="shared" si="63"/>
        <v>1.1437215222564519E-3</v>
      </c>
      <c r="K87" s="2"/>
      <c r="L87" s="6">
        <f t="shared" si="64"/>
        <v>-62</v>
      </c>
      <c r="M87" s="2"/>
      <c r="N87" s="7">
        <f t="shared" si="65"/>
        <v>-1</v>
      </c>
      <c r="O87" s="11"/>
      <c r="P87" s="6"/>
      <c r="Q87" s="2"/>
      <c r="R87" s="7">
        <f t="shared" si="66"/>
        <v>0</v>
      </c>
      <c r="S87" s="2"/>
      <c r="T87" s="6">
        <v>248</v>
      </c>
      <c r="U87" s="2"/>
      <c r="V87" s="7">
        <f t="shared" si="67"/>
        <v>1.0409365070703934E-3</v>
      </c>
      <c r="W87" s="2"/>
      <c r="X87" s="6">
        <f t="shared" si="68"/>
        <v>-248</v>
      </c>
      <c r="Y87" s="2"/>
      <c r="Z87" s="7">
        <f t="shared" si="69"/>
        <v>-1</v>
      </c>
    </row>
    <row r="88" spans="1:26" s="24" customFormat="1" hidden="1" outlineLevel="2" x14ac:dyDescent="0.25">
      <c r="A88" s="28"/>
      <c r="B88" s="11" t="str">
        <f>CONCATENATE("          ", "6284", " - ", "TRASH REMOVAL EXPENSE")</f>
        <v xml:space="preserve">          6284 - TRASH REMOVAL EXPENSE</v>
      </c>
      <c r="C88" s="11"/>
      <c r="D88" s="6">
        <v>5658</v>
      </c>
      <c r="E88" s="2"/>
      <c r="F88" s="7">
        <f t="shared" si="62"/>
        <v>8.8197346316747569E-2</v>
      </c>
      <c r="G88" s="2"/>
      <c r="H88" s="6">
        <v>3360</v>
      </c>
      <c r="I88" s="2"/>
      <c r="J88" s="7">
        <f t="shared" si="63"/>
        <v>6.1982327657769003E-2</v>
      </c>
      <c r="K88" s="2"/>
      <c r="L88" s="6">
        <f t="shared" si="64"/>
        <v>2298</v>
      </c>
      <c r="M88" s="2"/>
      <c r="N88" s="7">
        <f t="shared" si="65"/>
        <v>0.68392857142857144</v>
      </c>
      <c r="O88" s="11"/>
      <c r="P88" s="6">
        <v>13788</v>
      </c>
      <c r="Q88" s="2"/>
      <c r="R88" s="7">
        <f t="shared" si="66"/>
        <v>0.11063106081771662</v>
      </c>
      <c r="S88" s="2"/>
      <c r="T88" s="6">
        <v>13740</v>
      </c>
      <c r="U88" s="2"/>
      <c r="V88" s="7">
        <f t="shared" si="67"/>
        <v>5.7671240351400019E-2</v>
      </c>
      <c r="W88" s="2"/>
      <c r="X88" s="6">
        <f t="shared" si="68"/>
        <v>48</v>
      </c>
      <c r="Y88" s="2"/>
      <c r="Z88" s="7">
        <f t="shared" si="69"/>
        <v>3.4934497816593887E-3</v>
      </c>
    </row>
    <row r="89" spans="1:26" s="24" customFormat="1" hidden="1" outlineLevel="2" x14ac:dyDescent="0.25">
      <c r="A89" s="28"/>
      <c r="B89" s="11" t="str">
        <f>CONCATENATE("          ", "6285", " - ", "JANITORIAL SERVICES")</f>
        <v xml:space="preserve">          6285 - JANITORIAL SERVICES</v>
      </c>
      <c r="C89" s="11"/>
      <c r="D89" s="6">
        <v>3179.44</v>
      </c>
      <c r="E89" s="2"/>
      <c r="F89" s="7">
        <f t="shared" si="62"/>
        <v>4.956135927418167E-2</v>
      </c>
      <c r="G89" s="2"/>
      <c r="H89" s="6">
        <v>3491</v>
      </c>
      <c r="I89" s="2"/>
      <c r="J89" s="7">
        <f t="shared" si="63"/>
        <v>6.4398900551568924E-2</v>
      </c>
      <c r="K89" s="2"/>
      <c r="L89" s="6">
        <f t="shared" si="64"/>
        <v>-311.55999999999995</v>
      </c>
      <c r="M89" s="2"/>
      <c r="N89" s="7">
        <f t="shared" si="65"/>
        <v>-8.9246634202234304E-2</v>
      </c>
      <c r="O89" s="11"/>
      <c r="P89" s="6">
        <v>8786.77</v>
      </c>
      <c r="Q89" s="2"/>
      <c r="R89" s="7">
        <f t="shared" si="66"/>
        <v>7.050258821158166E-2</v>
      </c>
      <c r="S89" s="2"/>
      <c r="T89" s="6">
        <v>17468</v>
      </c>
      <c r="U89" s="2"/>
      <c r="V89" s="7">
        <f t="shared" si="67"/>
        <v>7.3318866554458184E-2</v>
      </c>
      <c r="W89" s="2"/>
      <c r="X89" s="6">
        <f t="shared" si="68"/>
        <v>-8681.23</v>
      </c>
      <c r="Y89" s="2"/>
      <c r="Z89" s="7">
        <f t="shared" si="69"/>
        <v>-0.49697904740096172</v>
      </c>
    </row>
    <row r="90" spans="1:26" s="24" customFormat="1" hidden="1" outlineLevel="2" x14ac:dyDescent="0.25">
      <c r="A90" s="28"/>
      <c r="B90" s="11" t="str">
        <f>CONCATENATE("          ", "6286", " - ", "LAUNDRY EXPENSE")</f>
        <v xml:space="preserve">          6286 - LAUNDRY EXPENSE</v>
      </c>
      <c r="C90" s="11"/>
      <c r="D90" s="6"/>
      <c r="E90" s="2"/>
      <c r="F90" s="7">
        <f t="shared" si="62"/>
        <v>0</v>
      </c>
      <c r="G90" s="2"/>
      <c r="H90" s="6">
        <v>104</v>
      </c>
      <c r="I90" s="2"/>
      <c r="J90" s="7">
        <f t="shared" si="63"/>
        <v>1.9185006179785644E-3</v>
      </c>
      <c r="K90" s="2"/>
      <c r="L90" s="6">
        <f t="shared" si="64"/>
        <v>-104</v>
      </c>
      <c r="M90" s="2"/>
      <c r="N90" s="7">
        <f t="shared" si="65"/>
        <v>-1</v>
      </c>
      <c r="O90" s="11"/>
      <c r="P90" s="6">
        <v>686.21</v>
      </c>
      <c r="Q90" s="2"/>
      <c r="R90" s="7">
        <f t="shared" si="66"/>
        <v>5.5059573718976877E-3</v>
      </c>
      <c r="S90" s="2"/>
      <c r="T90" s="6">
        <v>481</v>
      </c>
      <c r="U90" s="2"/>
      <c r="V90" s="7">
        <f t="shared" si="67"/>
        <v>2.0189131447615289E-3</v>
      </c>
      <c r="W90" s="2"/>
      <c r="X90" s="6">
        <f t="shared" si="68"/>
        <v>205.21000000000004</v>
      </c>
      <c r="Y90" s="2"/>
      <c r="Z90" s="7">
        <f t="shared" si="69"/>
        <v>0.42663201663201672</v>
      </c>
    </row>
    <row r="91" spans="1:26" s="29" customFormat="1" outlineLevel="1" collapsed="1" x14ac:dyDescent="0.2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SUM(OSRRefD22_16x_0)</f>
        <v>0</v>
      </c>
      <c r="E91" s="1"/>
      <c r="F91" s="5">
        <f t="shared" ref="F91:F104" si="70">IF(D$12=0,0,D91/D$12)</f>
        <v>0</v>
      </c>
      <c r="G91" s="1"/>
      <c r="H91" s="1">
        <f>SUM(OSRRefH22_16x_0)</f>
        <v>373</v>
      </c>
      <c r="I91" s="1"/>
      <c r="J91" s="5">
        <f t="shared" ref="J91:J104" si="71">IF(H$12=0,0,H91/H$12)</f>
        <v>6.8807762548654281E-3</v>
      </c>
      <c r="K91" s="1"/>
      <c r="L91" s="1">
        <f t="shared" ref="L91:L104" si="72">+D91-H91</f>
        <v>-373</v>
      </c>
      <c r="M91" s="1"/>
      <c r="N91" s="5">
        <f t="shared" ref="N91:N104" si="73">IF(H91=0,0,L91/H91)</f>
        <v>-1</v>
      </c>
      <c r="O91" s="14"/>
      <c r="P91" s="1">
        <f>SUM(OSRRefP22_16x_0)</f>
        <v>271.33</v>
      </c>
      <c r="Q91" s="1"/>
      <c r="R91" s="5">
        <f t="shared" ref="R91:R104" si="74">IF(P$12=0,0,P91/P$12)</f>
        <v>2.1770761337156258E-3</v>
      </c>
      <c r="S91" s="1"/>
      <c r="T91" s="1">
        <f>SUM(OSRRefT22_16x_0)</f>
        <v>1865</v>
      </c>
      <c r="U91" s="1"/>
      <c r="V91" s="5">
        <f t="shared" ref="V91:V104" si="75">IF(T$12=0,0,T91/T$12)</f>
        <v>7.8280104261543686E-3</v>
      </c>
      <c r="W91" s="1"/>
      <c r="X91" s="1">
        <f t="shared" ref="X91:X104" si="76">+P91-T91</f>
        <v>-1593.67</v>
      </c>
      <c r="Y91" s="1"/>
      <c r="Z91" s="5">
        <f t="shared" ref="Z91:Z104" si="77">IF(T91=0,0,X91/T91)</f>
        <v>-0.85451474530831106</v>
      </c>
    </row>
    <row r="92" spans="1:26" s="24" customFormat="1" hidden="1" outlineLevel="2" x14ac:dyDescent="0.25">
      <c r="A92" s="28"/>
      <c r="B92" s="11" t="str">
        <f>CONCATENATE("          ", "6275", " - ", "SUBSCRIPTIONS")</f>
        <v xml:space="preserve">          6275 - SUBSCRIPTIONS</v>
      </c>
      <c r="C92" s="11"/>
      <c r="D92" s="6"/>
      <c r="E92" s="2"/>
      <c r="F92" s="7">
        <f t="shared" si="70"/>
        <v>0</v>
      </c>
      <c r="G92" s="2"/>
      <c r="H92" s="6">
        <v>373</v>
      </c>
      <c r="I92" s="2"/>
      <c r="J92" s="7">
        <f t="shared" si="71"/>
        <v>6.8807762548654281E-3</v>
      </c>
      <c r="K92" s="2"/>
      <c r="L92" s="6">
        <f t="shared" si="72"/>
        <v>-373</v>
      </c>
      <c r="M92" s="2"/>
      <c r="N92" s="7">
        <f t="shared" si="73"/>
        <v>-1</v>
      </c>
      <c r="O92" s="11"/>
      <c r="P92" s="6">
        <v>271.33</v>
      </c>
      <c r="Q92" s="2"/>
      <c r="R92" s="7">
        <f t="shared" si="74"/>
        <v>2.1770761337156258E-3</v>
      </c>
      <c r="S92" s="2"/>
      <c r="T92" s="6">
        <v>1865</v>
      </c>
      <c r="U92" s="2"/>
      <c r="V92" s="7">
        <f t="shared" si="75"/>
        <v>7.8280104261543686E-3</v>
      </c>
      <c r="W92" s="2"/>
      <c r="X92" s="6">
        <f t="shared" si="76"/>
        <v>-1593.67</v>
      </c>
      <c r="Y92" s="2"/>
      <c r="Z92" s="7">
        <f t="shared" si="77"/>
        <v>-0.85451474530831106</v>
      </c>
    </row>
    <row r="93" spans="1:26" s="29" customFormat="1" outlineLevel="1" collapsed="1" x14ac:dyDescent="0.25">
      <c r="A93" s="27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SUM(OSRRefD22_17x_0)</f>
        <v>72</v>
      </c>
      <c r="E93" s="1"/>
      <c r="F93" s="5">
        <f t="shared" si="70"/>
        <v>1.1223416286330549E-3</v>
      </c>
      <c r="G93" s="1"/>
      <c r="H93" s="1">
        <f>SUM(OSRRefH22_17x_0)</f>
        <v>3065</v>
      </c>
      <c r="I93" s="1"/>
      <c r="J93" s="5">
        <f t="shared" si="71"/>
        <v>5.6540426866387501E-2</v>
      </c>
      <c r="K93" s="1"/>
      <c r="L93" s="1">
        <f t="shared" si="72"/>
        <v>-2993</v>
      </c>
      <c r="M93" s="1"/>
      <c r="N93" s="5">
        <f t="shared" si="73"/>
        <v>-0.97650897226753675</v>
      </c>
      <c r="O93" s="14"/>
      <c r="P93" s="1">
        <f>SUM(OSRRefP22_17x_0)</f>
        <v>-20476.590000000004</v>
      </c>
      <c r="Q93" s="1"/>
      <c r="R93" s="5">
        <f t="shared" si="74"/>
        <v>-0.16429843876047637</v>
      </c>
      <c r="S93" s="1"/>
      <c r="T93" s="1">
        <f>SUM(OSRRefT22_17x_0)</f>
        <v>26514</v>
      </c>
      <c r="U93" s="1"/>
      <c r="V93" s="5">
        <f t="shared" si="75"/>
        <v>0.11128786511477584</v>
      </c>
      <c r="W93" s="1"/>
      <c r="X93" s="1">
        <f t="shared" si="76"/>
        <v>-46990.590000000004</v>
      </c>
      <c r="Y93" s="1"/>
      <c r="Z93" s="5">
        <f t="shared" si="77"/>
        <v>-1.7722935053179454</v>
      </c>
    </row>
    <row r="94" spans="1:26" s="24" customFormat="1" hidden="1" outlineLevel="2" x14ac:dyDescent="0.25">
      <c r="A94" s="28"/>
      <c r="B94" s="11" t="str">
        <f>CONCATENATE("          ", "6234", " - ", "EXPENDABLE SUPPLIES &amp; EQUIPMEN")</f>
        <v xml:space="preserve">          6234 - EXPENDABLE SUPPLIES &amp; EQUIPMEN</v>
      </c>
      <c r="C94" s="11"/>
      <c r="D94" s="6"/>
      <c r="E94" s="2"/>
      <c r="F94" s="7">
        <f t="shared" si="70"/>
        <v>0</v>
      </c>
      <c r="G94" s="2"/>
      <c r="H94" s="6">
        <v>96</v>
      </c>
      <c r="I94" s="2"/>
      <c r="J94" s="7">
        <f t="shared" si="71"/>
        <v>1.7709236473648286E-3</v>
      </c>
      <c r="K94" s="2"/>
      <c r="L94" s="6">
        <f t="shared" si="72"/>
        <v>-96</v>
      </c>
      <c r="M94" s="2"/>
      <c r="N94" s="7">
        <f t="shared" si="73"/>
        <v>-1</v>
      </c>
      <c r="O94" s="11"/>
      <c r="P94" s="6">
        <v>627.58000000000004</v>
      </c>
      <c r="Q94" s="2"/>
      <c r="R94" s="7">
        <f t="shared" si="74"/>
        <v>5.0355266280811281E-3</v>
      </c>
      <c r="S94" s="2"/>
      <c r="T94" s="6">
        <v>96</v>
      </c>
      <c r="U94" s="2"/>
      <c r="V94" s="7">
        <f t="shared" si="75"/>
        <v>4.0294316402724904E-4</v>
      </c>
      <c r="W94" s="2"/>
      <c r="X94" s="6">
        <f t="shared" si="76"/>
        <v>531.58000000000004</v>
      </c>
      <c r="Y94" s="2"/>
      <c r="Z94" s="7">
        <f t="shared" si="77"/>
        <v>5.5372916666666674</v>
      </c>
    </row>
    <row r="95" spans="1:26" s="24" customFormat="1" hidden="1" outlineLevel="2" x14ac:dyDescent="0.25">
      <c r="A95" s="28"/>
      <c r="B95" s="11" t="str">
        <f>CONCATENATE("          ", "6235", " - ", "COVID-19 EXPENSES")</f>
        <v xml:space="preserve">          6235 - COVID-19 EXPENSES</v>
      </c>
      <c r="C95" s="11"/>
      <c r="D95" s="6"/>
      <c r="E95" s="2"/>
      <c r="F95" s="7">
        <f t="shared" si="70"/>
        <v>0</v>
      </c>
      <c r="G95" s="2"/>
      <c r="H95" s="6">
        <v>400</v>
      </c>
      <c r="I95" s="2"/>
      <c r="J95" s="7">
        <f t="shared" si="71"/>
        <v>7.3788485306867865E-3</v>
      </c>
      <c r="K95" s="2"/>
      <c r="L95" s="6">
        <f t="shared" si="72"/>
        <v>-400</v>
      </c>
      <c r="M95" s="2"/>
      <c r="N95" s="7">
        <f t="shared" si="73"/>
        <v>-1</v>
      </c>
      <c r="O95" s="11"/>
      <c r="P95" s="6">
        <v>7089.13</v>
      </c>
      <c r="Q95" s="2"/>
      <c r="R95" s="7">
        <f t="shared" si="74"/>
        <v>5.6881199026305437E-2</v>
      </c>
      <c r="S95" s="2"/>
      <c r="T95" s="6">
        <v>2500</v>
      </c>
      <c r="U95" s="2"/>
      <c r="V95" s="7">
        <f t="shared" si="75"/>
        <v>1.0493311563209611E-2</v>
      </c>
      <c r="W95" s="2"/>
      <c r="X95" s="6">
        <f t="shared" si="76"/>
        <v>4589.13</v>
      </c>
      <c r="Y95" s="2"/>
      <c r="Z95" s="7">
        <f t="shared" si="77"/>
        <v>1.8356520000000001</v>
      </c>
    </row>
    <row r="96" spans="1:26" s="24" customFormat="1" hidden="1" outlineLevel="2" x14ac:dyDescent="0.25">
      <c r="A96" s="28"/>
      <c r="B96" s="11" t="str">
        <f>CONCATENATE("          ", "6237", " - ", "JANITORIAL SUPPLIES")</f>
        <v xml:space="preserve">          6237 - JANITORIAL SUPPLIES</v>
      </c>
      <c r="C96" s="11"/>
      <c r="D96" s="6">
        <v>72</v>
      </c>
      <c r="E96" s="2"/>
      <c r="F96" s="7">
        <f t="shared" si="70"/>
        <v>1.1223416286330549E-3</v>
      </c>
      <c r="G96" s="2"/>
      <c r="H96" s="6">
        <v>906</v>
      </c>
      <c r="I96" s="2"/>
      <c r="J96" s="7">
        <f t="shared" si="71"/>
        <v>1.6713091922005572E-2</v>
      </c>
      <c r="K96" s="2"/>
      <c r="L96" s="6">
        <f t="shared" si="72"/>
        <v>-834</v>
      </c>
      <c r="M96" s="2"/>
      <c r="N96" s="7">
        <f t="shared" si="73"/>
        <v>-0.92052980132450335</v>
      </c>
      <c r="O96" s="11"/>
      <c r="P96" s="6">
        <v>657.62</v>
      </c>
      <c r="Q96" s="2"/>
      <c r="R96" s="7">
        <f t="shared" si="74"/>
        <v>5.2765591974867129E-3</v>
      </c>
      <c r="S96" s="2"/>
      <c r="T96" s="6">
        <v>3952</v>
      </c>
      <c r="U96" s="2"/>
      <c r="V96" s="7">
        <f t="shared" si="75"/>
        <v>1.6587826919121751E-2</v>
      </c>
      <c r="W96" s="2"/>
      <c r="X96" s="6">
        <f t="shared" si="76"/>
        <v>-3294.38</v>
      </c>
      <c r="Y96" s="2"/>
      <c r="Z96" s="7">
        <f t="shared" si="77"/>
        <v>-0.8335981781376518</v>
      </c>
    </row>
    <row r="97" spans="1:26" s="24" customFormat="1" hidden="1" outlineLevel="2" x14ac:dyDescent="0.25">
      <c r="A97" s="28"/>
      <c r="B97" s="11" t="str">
        <f>CONCATENATE("          ", "6239", " - ", "KITCHEN SUPPLIES")</f>
        <v xml:space="preserve">          6239 - KITCHEN SUPPLIES</v>
      </c>
      <c r="C97" s="11"/>
      <c r="D97" s="6"/>
      <c r="E97" s="2"/>
      <c r="F97" s="7">
        <f t="shared" si="70"/>
        <v>0</v>
      </c>
      <c r="G97" s="2"/>
      <c r="H97" s="6">
        <v>40</v>
      </c>
      <c r="I97" s="2"/>
      <c r="J97" s="7">
        <f t="shared" si="71"/>
        <v>7.3788485306867859E-4</v>
      </c>
      <c r="K97" s="2"/>
      <c r="L97" s="6">
        <f t="shared" si="72"/>
        <v>-40</v>
      </c>
      <c r="M97" s="2"/>
      <c r="N97" s="7">
        <f t="shared" si="73"/>
        <v>-1</v>
      </c>
      <c r="O97" s="11"/>
      <c r="P97" s="6">
        <v>19.829999999999998</v>
      </c>
      <c r="Q97" s="2"/>
      <c r="R97" s="7">
        <f t="shared" si="74"/>
        <v>1.5911038120215552E-4</v>
      </c>
      <c r="S97" s="2"/>
      <c r="T97" s="6">
        <v>232</v>
      </c>
      <c r="U97" s="2"/>
      <c r="V97" s="7">
        <f t="shared" si="75"/>
        <v>9.7377931306585181E-4</v>
      </c>
      <c r="W97" s="2"/>
      <c r="X97" s="6">
        <f t="shared" si="76"/>
        <v>-212.17000000000002</v>
      </c>
      <c r="Y97" s="2"/>
      <c r="Z97" s="7">
        <f t="shared" si="77"/>
        <v>-0.91452586206896558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6"/>
      <c r="E98" s="2"/>
      <c r="F98" s="7">
        <f t="shared" si="70"/>
        <v>0</v>
      </c>
      <c r="G98" s="2"/>
      <c r="H98" s="6">
        <v>25</v>
      </c>
      <c r="I98" s="2"/>
      <c r="J98" s="7">
        <f t="shared" si="71"/>
        <v>4.6117803316792416E-4</v>
      </c>
      <c r="K98" s="2"/>
      <c r="L98" s="6">
        <f t="shared" si="72"/>
        <v>-25</v>
      </c>
      <c r="M98" s="2"/>
      <c r="N98" s="7">
        <f t="shared" si="73"/>
        <v>-1</v>
      </c>
      <c r="O98" s="11"/>
      <c r="P98" s="6">
        <v>-28992.030000000002</v>
      </c>
      <c r="Q98" s="2"/>
      <c r="R98" s="7">
        <f t="shared" si="74"/>
        <v>-0.23262395083834239</v>
      </c>
      <c r="S98" s="2"/>
      <c r="T98" s="6">
        <v>5387</v>
      </c>
      <c r="U98" s="2"/>
      <c r="V98" s="7">
        <f t="shared" si="75"/>
        <v>2.2610987756404067E-2</v>
      </c>
      <c r="W98" s="2"/>
      <c r="X98" s="6">
        <f t="shared" si="76"/>
        <v>-34379.03</v>
      </c>
      <c r="Y98" s="2"/>
      <c r="Z98" s="7">
        <f t="shared" si="77"/>
        <v>-6.3818507518099121</v>
      </c>
    </row>
    <row r="99" spans="1:26" s="24" customFormat="1" hidden="1" outlineLevel="2" x14ac:dyDescent="0.25">
      <c r="A99" s="28"/>
      <c r="B99" s="11" t="str">
        <f>CONCATENATE("          ", "6243", " - ", "PAPER SUPPLIES")</f>
        <v xml:space="preserve">          6243 - PAPER SUPPLIES</v>
      </c>
      <c r="C99" s="11"/>
      <c r="D99" s="6"/>
      <c r="E99" s="2"/>
      <c r="F99" s="7">
        <f t="shared" si="70"/>
        <v>0</v>
      </c>
      <c r="G99" s="2"/>
      <c r="H99" s="6">
        <v>480</v>
      </c>
      <c r="I99" s="2"/>
      <c r="J99" s="7">
        <f t="shared" si="71"/>
        <v>8.8546182368241435E-3</v>
      </c>
      <c r="K99" s="2"/>
      <c r="L99" s="6">
        <f t="shared" si="72"/>
        <v>-480</v>
      </c>
      <c r="M99" s="2"/>
      <c r="N99" s="7">
        <f t="shared" si="73"/>
        <v>-1</v>
      </c>
      <c r="O99" s="11"/>
      <c r="P99" s="6"/>
      <c r="Q99" s="2"/>
      <c r="R99" s="7">
        <f t="shared" si="74"/>
        <v>0</v>
      </c>
      <c r="S99" s="2"/>
      <c r="T99" s="6">
        <v>3568</v>
      </c>
      <c r="U99" s="2"/>
      <c r="V99" s="7">
        <f t="shared" si="75"/>
        <v>1.4976054263012756E-2</v>
      </c>
      <c r="W99" s="2"/>
      <c r="X99" s="6">
        <f t="shared" si="76"/>
        <v>-3568</v>
      </c>
      <c r="Y99" s="2"/>
      <c r="Z99" s="7">
        <f t="shared" si="77"/>
        <v>-1</v>
      </c>
    </row>
    <row r="100" spans="1:26" s="24" customFormat="1" hidden="1" outlineLevel="2" x14ac:dyDescent="0.25">
      <c r="A100" s="28"/>
      <c r="B100" s="11" t="str">
        <f>CONCATENATE("          ", "6244", " - ", "SAFETY SUPPLY EXPENSE")</f>
        <v xml:space="preserve">          6244 - SAFETY SUPPLY EXPENSE</v>
      </c>
      <c r="C100" s="11"/>
      <c r="D100" s="6"/>
      <c r="E100" s="2"/>
      <c r="F100" s="7">
        <f t="shared" si="70"/>
        <v>0</v>
      </c>
      <c r="G100" s="2"/>
      <c r="H100" s="6">
        <v>0</v>
      </c>
      <c r="I100" s="2"/>
      <c r="J100" s="7">
        <f t="shared" si="71"/>
        <v>0</v>
      </c>
      <c r="K100" s="2"/>
      <c r="L100" s="6">
        <f t="shared" si="72"/>
        <v>0</v>
      </c>
      <c r="M100" s="2"/>
      <c r="N100" s="7">
        <f t="shared" si="73"/>
        <v>0</v>
      </c>
      <c r="O100" s="11"/>
      <c r="P100" s="6"/>
      <c r="Q100" s="2"/>
      <c r="R100" s="7">
        <f t="shared" si="74"/>
        <v>0</v>
      </c>
      <c r="S100" s="2"/>
      <c r="T100" s="6">
        <v>0</v>
      </c>
      <c r="U100" s="2"/>
      <c r="V100" s="7">
        <f t="shared" si="75"/>
        <v>0</v>
      </c>
      <c r="W100" s="2"/>
      <c r="X100" s="6">
        <f t="shared" si="76"/>
        <v>0</v>
      </c>
      <c r="Y100" s="2"/>
      <c r="Z100" s="7">
        <f t="shared" si="77"/>
        <v>0</v>
      </c>
    </row>
    <row r="101" spans="1:26" s="24" customFormat="1" hidden="1" outlineLevel="2" x14ac:dyDescent="0.25">
      <c r="A101" s="28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70"/>
        <v>0</v>
      </c>
      <c r="G101" s="2"/>
      <c r="H101" s="6">
        <v>0</v>
      </c>
      <c r="I101" s="2"/>
      <c r="J101" s="7">
        <f t="shared" si="71"/>
        <v>0</v>
      </c>
      <c r="K101" s="2"/>
      <c r="L101" s="6">
        <f t="shared" si="72"/>
        <v>0</v>
      </c>
      <c r="M101" s="2"/>
      <c r="N101" s="7">
        <f t="shared" si="73"/>
        <v>0</v>
      </c>
      <c r="O101" s="11"/>
      <c r="P101" s="6"/>
      <c r="Q101" s="2"/>
      <c r="R101" s="7">
        <f t="shared" si="74"/>
        <v>0</v>
      </c>
      <c r="S101" s="2"/>
      <c r="T101" s="6">
        <v>0</v>
      </c>
      <c r="U101" s="2"/>
      <c r="V101" s="7">
        <f t="shared" si="75"/>
        <v>0</v>
      </c>
      <c r="W101" s="2"/>
      <c r="X101" s="6">
        <f t="shared" si="76"/>
        <v>0</v>
      </c>
      <c r="Y101" s="2"/>
      <c r="Z101" s="7">
        <f t="shared" si="77"/>
        <v>0</v>
      </c>
    </row>
    <row r="102" spans="1:26" s="24" customFormat="1" hidden="1" outlineLevel="2" x14ac:dyDescent="0.25">
      <c r="A102" s="28"/>
      <c r="B102" s="11" t="str">
        <f>CONCATENATE("          ", "6246", " - ", "REPLACEMENTS")</f>
        <v xml:space="preserve">          6246 - REPLACEMENTS</v>
      </c>
      <c r="C102" s="11"/>
      <c r="D102" s="6"/>
      <c r="E102" s="2"/>
      <c r="F102" s="7">
        <f t="shared" si="70"/>
        <v>0</v>
      </c>
      <c r="G102" s="2"/>
      <c r="H102" s="6">
        <v>0</v>
      </c>
      <c r="I102" s="2"/>
      <c r="J102" s="7">
        <f t="shared" si="71"/>
        <v>0</v>
      </c>
      <c r="K102" s="2"/>
      <c r="L102" s="6">
        <f t="shared" si="72"/>
        <v>0</v>
      </c>
      <c r="M102" s="2"/>
      <c r="N102" s="7">
        <f t="shared" si="73"/>
        <v>0</v>
      </c>
      <c r="O102" s="11"/>
      <c r="P102" s="6"/>
      <c r="Q102" s="2"/>
      <c r="R102" s="7">
        <f t="shared" si="74"/>
        <v>0</v>
      </c>
      <c r="S102" s="2"/>
      <c r="T102" s="6">
        <v>0</v>
      </c>
      <c r="U102" s="2"/>
      <c r="V102" s="7">
        <f t="shared" si="75"/>
        <v>0</v>
      </c>
      <c r="W102" s="2"/>
      <c r="X102" s="6">
        <f t="shared" si="76"/>
        <v>0</v>
      </c>
      <c r="Y102" s="2"/>
      <c r="Z102" s="7">
        <f t="shared" si="77"/>
        <v>0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70"/>
        <v>0</v>
      </c>
      <c r="G103" s="2"/>
      <c r="H103" s="6">
        <v>1118</v>
      </c>
      <c r="I103" s="2"/>
      <c r="J103" s="7">
        <f t="shared" si="71"/>
        <v>2.0623881643269566E-2</v>
      </c>
      <c r="K103" s="2"/>
      <c r="L103" s="6">
        <f t="shared" si="72"/>
        <v>-1118</v>
      </c>
      <c r="M103" s="2"/>
      <c r="N103" s="7">
        <f t="shared" si="73"/>
        <v>-1</v>
      </c>
      <c r="O103" s="11"/>
      <c r="P103" s="6">
        <v>121.28</v>
      </c>
      <c r="Q103" s="2"/>
      <c r="R103" s="7">
        <f t="shared" si="74"/>
        <v>9.7311684479059121E-4</v>
      </c>
      <c r="S103" s="2"/>
      <c r="T103" s="6">
        <v>10679</v>
      </c>
      <c r="U103" s="2"/>
      <c r="V103" s="7">
        <f t="shared" si="75"/>
        <v>4.482322967340617E-2</v>
      </c>
      <c r="W103" s="2"/>
      <c r="X103" s="6">
        <f t="shared" si="76"/>
        <v>-10557.72</v>
      </c>
      <c r="Y103" s="2"/>
      <c r="Z103" s="7">
        <f t="shared" si="77"/>
        <v>-0.98864313137934257</v>
      </c>
    </row>
    <row r="104" spans="1:26" s="24" customFormat="1" hidden="1" outlineLevel="2" x14ac:dyDescent="0.25">
      <c r="A104" s="28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70"/>
        <v>0</v>
      </c>
      <c r="G104" s="2"/>
      <c r="H104" s="6"/>
      <c r="I104" s="2"/>
      <c r="J104" s="7">
        <f t="shared" si="71"/>
        <v>0</v>
      </c>
      <c r="K104" s="2"/>
      <c r="L104" s="6">
        <f t="shared" si="72"/>
        <v>0</v>
      </c>
      <c r="M104" s="2"/>
      <c r="N104" s="7">
        <f t="shared" si="73"/>
        <v>0</v>
      </c>
      <c r="O104" s="11"/>
      <c r="P104" s="6"/>
      <c r="Q104" s="2"/>
      <c r="R104" s="7">
        <f t="shared" si="74"/>
        <v>0</v>
      </c>
      <c r="S104" s="2"/>
      <c r="T104" s="6">
        <v>100</v>
      </c>
      <c r="U104" s="2"/>
      <c r="V104" s="7">
        <f t="shared" si="75"/>
        <v>4.1973246252838443E-4</v>
      </c>
      <c r="W104" s="2"/>
      <c r="X104" s="6">
        <f t="shared" si="76"/>
        <v>-100</v>
      </c>
      <c r="Y104" s="2"/>
      <c r="Z104" s="7">
        <f t="shared" si="77"/>
        <v>-1</v>
      </c>
    </row>
    <row r="105" spans="1:26" s="29" customFormat="1" outlineLevel="1" collapsed="1" x14ac:dyDescent="0.25">
      <c r="A105" s="27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SUM(OSRRefD22_18x_0)</f>
        <v>749.6</v>
      </c>
      <c r="E105" s="1"/>
      <c r="F105" s="5">
        <f t="shared" ref="F105:F107" si="78">IF(D$12=0,0,D105/D$12)</f>
        <v>1.1684823400324139E-2</v>
      </c>
      <c r="G105" s="1"/>
      <c r="H105" s="1">
        <f>SUM(OSRRefH22_18x_0)</f>
        <v>473</v>
      </c>
      <c r="I105" s="1"/>
      <c r="J105" s="5">
        <f t="shared" ref="J105:J107" si="79">IF(H$12=0,0,H105/H$12)</f>
        <v>8.7254883875371256E-3</v>
      </c>
      <c r="K105" s="1"/>
      <c r="L105" s="1">
        <f t="shared" ref="L105:L107" si="80">+D105-H105</f>
        <v>276.60000000000002</v>
      </c>
      <c r="M105" s="1"/>
      <c r="N105" s="5">
        <f t="shared" ref="N105:N107" si="81">IF(H105=0,0,L105/H105)</f>
        <v>0.58477801268498952</v>
      </c>
      <c r="O105" s="14"/>
      <c r="P105" s="1">
        <f>SUM(OSRRefP22_18x_0)</f>
        <v>6442.91</v>
      </c>
      <c r="Q105" s="1"/>
      <c r="R105" s="5">
        <f t="shared" ref="R105:R107" si="82">IF(P$12=0,0,P105/P$12)</f>
        <v>5.1696110244638417E-2</v>
      </c>
      <c r="S105" s="1"/>
      <c r="T105" s="1">
        <f>SUM(OSRRefT22_18x_0)</f>
        <v>3138</v>
      </c>
      <c r="U105" s="1"/>
      <c r="V105" s="5">
        <f t="shared" ref="V105:V107" si="83">IF(T$12=0,0,T105/T$12)</f>
        <v>1.3171204674140702E-2</v>
      </c>
      <c r="W105" s="1"/>
      <c r="X105" s="1">
        <f t="shared" ref="X105:X107" si="84">+P105-T105</f>
        <v>3304.91</v>
      </c>
      <c r="Y105" s="1"/>
      <c r="Z105" s="5">
        <f t="shared" ref="Z105:Z107" si="85">IF(T105=0,0,X105/T105)</f>
        <v>1.0531899298916507</v>
      </c>
    </row>
    <row r="106" spans="1:26" s="24" customFormat="1" hidden="1" outlineLevel="2" x14ac:dyDescent="0.25">
      <c r="A106" s="28"/>
      <c r="B106" s="11" t="str">
        <f>CONCATENATE("          ", "6303", " - ", "DATA PHONE LINES")</f>
        <v xml:space="preserve">          6303 - DATA PHONE LINES</v>
      </c>
      <c r="C106" s="11"/>
      <c r="D106" s="6"/>
      <c r="E106" s="2"/>
      <c r="F106" s="7">
        <f t="shared" si="78"/>
        <v>0</v>
      </c>
      <c r="G106" s="2"/>
      <c r="H106" s="6">
        <v>373</v>
      </c>
      <c r="I106" s="2"/>
      <c r="J106" s="7">
        <f t="shared" si="79"/>
        <v>6.8807762548654281E-3</v>
      </c>
      <c r="K106" s="2"/>
      <c r="L106" s="6">
        <f t="shared" si="80"/>
        <v>-373</v>
      </c>
      <c r="M106" s="2"/>
      <c r="N106" s="7">
        <f t="shared" si="81"/>
        <v>-1</v>
      </c>
      <c r="O106" s="11"/>
      <c r="P106" s="6"/>
      <c r="Q106" s="2"/>
      <c r="R106" s="7">
        <f t="shared" si="82"/>
        <v>0</v>
      </c>
      <c r="S106" s="2"/>
      <c r="T106" s="6">
        <v>1888</v>
      </c>
      <c r="U106" s="2"/>
      <c r="V106" s="7">
        <f t="shared" si="83"/>
        <v>7.9245488925358976E-3</v>
      </c>
      <c r="W106" s="2"/>
      <c r="X106" s="6">
        <f t="shared" si="84"/>
        <v>-1888</v>
      </c>
      <c r="Y106" s="2"/>
      <c r="Z106" s="7">
        <f t="shared" si="85"/>
        <v>-1</v>
      </c>
    </row>
    <row r="107" spans="1:26" s="24" customFormat="1" hidden="1" outlineLevel="2" x14ac:dyDescent="0.25">
      <c r="A107" s="28"/>
      <c r="B107" s="11" t="str">
        <f>CONCATENATE("          ", "6309", " - ", "TELEPHONE")</f>
        <v xml:space="preserve">          6309 - TELEPHONE</v>
      </c>
      <c r="C107" s="11"/>
      <c r="D107" s="6">
        <v>749.6</v>
      </c>
      <c r="E107" s="2"/>
      <c r="F107" s="7">
        <f t="shared" si="78"/>
        <v>1.1684823400324139E-2</v>
      </c>
      <c r="G107" s="2"/>
      <c r="H107" s="6">
        <v>100</v>
      </c>
      <c r="I107" s="2"/>
      <c r="J107" s="7">
        <f t="shared" si="79"/>
        <v>1.8447121326716966E-3</v>
      </c>
      <c r="K107" s="2"/>
      <c r="L107" s="6">
        <f t="shared" si="80"/>
        <v>649.6</v>
      </c>
      <c r="M107" s="2"/>
      <c r="N107" s="7">
        <f t="shared" si="81"/>
        <v>6.4960000000000004</v>
      </c>
      <c r="O107" s="11"/>
      <c r="P107" s="6">
        <v>6442.91</v>
      </c>
      <c r="Q107" s="2"/>
      <c r="R107" s="7">
        <f t="shared" si="82"/>
        <v>5.1696110244638417E-2</v>
      </c>
      <c r="S107" s="2"/>
      <c r="T107" s="6">
        <v>1250</v>
      </c>
      <c r="U107" s="2"/>
      <c r="V107" s="7">
        <f t="shared" si="83"/>
        <v>5.2466557816048054E-3</v>
      </c>
      <c r="W107" s="2"/>
      <c r="X107" s="6">
        <f t="shared" si="84"/>
        <v>5192.91</v>
      </c>
      <c r="Y107" s="2"/>
      <c r="Z107" s="7">
        <f t="shared" si="85"/>
        <v>4.1543279999999996</v>
      </c>
    </row>
    <row r="108" spans="1:26" s="29" customFormat="1" outlineLevel="1" collapsed="1" x14ac:dyDescent="0.25">
      <c r="A108" s="27"/>
      <c r="B108" s="14" t="str">
        <f>CONCATENATE("     ","Training                                          ")</f>
        <v xml:space="preserve">     Training                                          </v>
      </c>
      <c r="C108" s="14"/>
      <c r="D108" s="1">
        <f>SUM(OSRRefD22_19x_0)</f>
        <v>400</v>
      </c>
      <c r="E108" s="1"/>
      <c r="F108" s="5">
        <f t="shared" ref="F108:F113" si="86">IF(D$12=0,0,D108/D$12)</f>
        <v>6.2352312701836384E-3</v>
      </c>
      <c r="G108" s="1"/>
      <c r="H108" s="1">
        <f>SUM(OSRRefH22_19x_0)</f>
        <v>0</v>
      </c>
      <c r="I108" s="1"/>
      <c r="J108" s="5">
        <f t="shared" ref="J108:J113" si="87">IF(H$12=0,0,H108/H$12)</f>
        <v>0</v>
      </c>
      <c r="K108" s="1"/>
      <c r="L108" s="1">
        <f t="shared" ref="L108:L113" si="88">+D108-H108</f>
        <v>400</v>
      </c>
      <c r="M108" s="1"/>
      <c r="N108" s="5">
        <f t="shared" ref="N108:N113" si="89">IF(H108=0,0,L108/H108)</f>
        <v>0</v>
      </c>
      <c r="O108" s="14"/>
      <c r="P108" s="1">
        <f>SUM(OSRRefP22_19x_0)</f>
        <v>400</v>
      </c>
      <c r="Q108" s="1"/>
      <c r="R108" s="5">
        <f t="shared" ref="R108:R113" si="90">IF(P$12=0,0,P108/P$12)</f>
        <v>3.2094882743753006E-3</v>
      </c>
      <c r="S108" s="1"/>
      <c r="T108" s="1">
        <f>SUM(OSRRefT22_19x_0)</f>
        <v>120</v>
      </c>
      <c r="U108" s="1"/>
      <c r="V108" s="5">
        <f t="shared" ref="V108:V113" si="91">IF(T$12=0,0,T108/T$12)</f>
        <v>5.036789550340613E-4</v>
      </c>
      <c r="W108" s="1"/>
      <c r="X108" s="1">
        <f t="shared" ref="X108:X113" si="92">+P108-T108</f>
        <v>280</v>
      </c>
      <c r="Y108" s="1"/>
      <c r="Z108" s="5">
        <f t="shared" ref="Z108:Z113" si="93">IF(T108=0,0,X108/T108)</f>
        <v>2.3333333333333335</v>
      </c>
    </row>
    <row r="109" spans="1:26" s="24" customFormat="1" hidden="1" outlineLevel="2" x14ac:dyDescent="0.25">
      <c r="A109" s="28"/>
      <c r="B109" s="11" t="str">
        <f>CONCATENATE("          ", "6376", " - ", "TRAINING")</f>
        <v xml:space="preserve">          6376 - TRAINING</v>
      </c>
      <c r="C109" s="11"/>
      <c r="D109" s="6">
        <v>400</v>
      </c>
      <c r="E109" s="2"/>
      <c r="F109" s="7">
        <f t="shared" si="86"/>
        <v>6.2352312701836384E-3</v>
      </c>
      <c r="G109" s="2"/>
      <c r="H109" s="6">
        <v>0</v>
      </c>
      <c r="I109" s="2"/>
      <c r="J109" s="7">
        <f t="shared" si="87"/>
        <v>0</v>
      </c>
      <c r="K109" s="2"/>
      <c r="L109" s="6">
        <f t="shared" si="88"/>
        <v>400</v>
      </c>
      <c r="M109" s="2"/>
      <c r="N109" s="7">
        <f t="shared" si="89"/>
        <v>0</v>
      </c>
      <c r="O109" s="11"/>
      <c r="P109" s="6">
        <v>400</v>
      </c>
      <c r="Q109" s="2"/>
      <c r="R109" s="7">
        <f t="shared" si="90"/>
        <v>3.2094882743753006E-3</v>
      </c>
      <c r="S109" s="2"/>
      <c r="T109" s="6">
        <v>120</v>
      </c>
      <c r="U109" s="2"/>
      <c r="V109" s="7">
        <f t="shared" si="91"/>
        <v>5.036789550340613E-4</v>
      </c>
      <c r="W109" s="2"/>
      <c r="X109" s="6">
        <f t="shared" si="92"/>
        <v>280</v>
      </c>
      <c r="Y109" s="2"/>
      <c r="Z109" s="7">
        <f t="shared" si="93"/>
        <v>2.3333333333333335</v>
      </c>
    </row>
    <row r="110" spans="1:26" s="29" customFormat="1" outlineLevel="1" collapsed="1" x14ac:dyDescent="0.25">
      <c r="A110" s="27"/>
      <c r="B110" s="14" t="str">
        <f>CONCATENATE("     ","Travel                                            ")</f>
        <v xml:space="preserve">     Travel                                            </v>
      </c>
      <c r="C110" s="14"/>
      <c r="D110" s="1">
        <f>SUM(OSRRefD22_20x_0)</f>
        <v>0</v>
      </c>
      <c r="E110" s="1"/>
      <c r="F110" s="5">
        <f t="shared" si="86"/>
        <v>0</v>
      </c>
      <c r="G110" s="1"/>
      <c r="H110" s="1">
        <f>SUM(OSRRefH22_20x_0)</f>
        <v>0</v>
      </c>
      <c r="I110" s="1"/>
      <c r="J110" s="5">
        <f t="shared" si="87"/>
        <v>0</v>
      </c>
      <c r="K110" s="1"/>
      <c r="L110" s="1">
        <f t="shared" si="88"/>
        <v>0</v>
      </c>
      <c r="M110" s="1"/>
      <c r="N110" s="5">
        <f t="shared" si="89"/>
        <v>0</v>
      </c>
      <c r="O110" s="14"/>
      <c r="P110" s="1">
        <f>SUM(OSRRefP22_20x_0)</f>
        <v>332.21</v>
      </c>
      <c r="Q110" s="1"/>
      <c r="R110" s="5">
        <f t="shared" si="90"/>
        <v>2.6655602490755466E-3</v>
      </c>
      <c r="S110" s="1"/>
      <c r="T110" s="1">
        <f>SUM(OSRRefT22_20x_0)</f>
        <v>1500</v>
      </c>
      <c r="U110" s="1"/>
      <c r="V110" s="5">
        <f t="shared" si="91"/>
        <v>6.2959869379257665E-3</v>
      </c>
      <c r="W110" s="1"/>
      <c r="X110" s="1">
        <f t="shared" si="92"/>
        <v>-1167.79</v>
      </c>
      <c r="Y110" s="1"/>
      <c r="Z110" s="5">
        <f t="shared" si="93"/>
        <v>-0.77852666666666659</v>
      </c>
    </row>
    <row r="111" spans="1:26" s="24" customFormat="1" hidden="1" outlineLevel="2" x14ac:dyDescent="0.25">
      <c r="A111" s="28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86"/>
        <v>0</v>
      </c>
      <c r="G111" s="2"/>
      <c r="H111" s="6"/>
      <c r="I111" s="2"/>
      <c r="J111" s="7">
        <f t="shared" si="87"/>
        <v>0</v>
      </c>
      <c r="K111" s="2"/>
      <c r="L111" s="6">
        <f t="shared" si="88"/>
        <v>0</v>
      </c>
      <c r="M111" s="2"/>
      <c r="N111" s="7">
        <f t="shared" si="89"/>
        <v>0</v>
      </c>
      <c r="O111" s="11"/>
      <c r="P111" s="6"/>
      <c r="Q111" s="2"/>
      <c r="R111" s="7">
        <f t="shared" si="90"/>
        <v>0</v>
      </c>
      <c r="S111" s="2"/>
      <c r="T111" s="6">
        <v>1500</v>
      </c>
      <c r="U111" s="2"/>
      <c r="V111" s="7">
        <f t="shared" si="91"/>
        <v>6.2959869379257665E-3</v>
      </c>
      <c r="W111" s="2"/>
      <c r="X111" s="6">
        <f t="shared" si="92"/>
        <v>-1500</v>
      </c>
      <c r="Y111" s="2"/>
      <c r="Z111" s="7">
        <f t="shared" si="93"/>
        <v>-1</v>
      </c>
    </row>
    <row r="112" spans="1:26" s="24" customFormat="1" hidden="1" outlineLevel="2" x14ac:dyDescent="0.25">
      <c r="A112" s="28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86"/>
        <v>0</v>
      </c>
      <c r="G112" s="2"/>
      <c r="H112" s="6"/>
      <c r="I112" s="2"/>
      <c r="J112" s="7">
        <f t="shared" si="87"/>
        <v>0</v>
      </c>
      <c r="K112" s="2"/>
      <c r="L112" s="6">
        <f t="shared" si="88"/>
        <v>0</v>
      </c>
      <c r="M112" s="2"/>
      <c r="N112" s="7">
        <f t="shared" si="89"/>
        <v>0</v>
      </c>
      <c r="O112" s="11"/>
      <c r="P112" s="6"/>
      <c r="Q112" s="2"/>
      <c r="R112" s="7">
        <f t="shared" si="90"/>
        <v>0</v>
      </c>
      <c r="S112" s="2"/>
      <c r="T112" s="6">
        <v>0</v>
      </c>
      <c r="U112" s="2"/>
      <c r="V112" s="7">
        <f t="shared" si="91"/>
        <v>0</v>
      </c>
      <c r="W112" s="2"/>
      <c r="X112" s="6">
        <f t="shared" si="92"/>
        <v>0</v>
      </c>
      <c r="Y112" s="2"/>
      <c r="Z112" s="7">
        <f t="shared" si="93"/>
        <v>0</v>
      </c>
    </row>
    <row r="113" spans="1:26" s="24" customFormat="1" hidden="1" outlineLevel="2" x14ac:dyDescent="0.25">
      <c r="A113" s="28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86"/>
        <v>0</v>
      </c>
      <c r="G113" s="2"/>
      <c r="H113" s="6"/>
      <c r="I113" s="2"/>
      <c r="J113" s="7">
        <f t="shared" si="87"/>
        <v>0</v>
      </c>
      <c r="K113" s="2"/>
      <c r="L113" s="6">
        <f t="shared" si="88"/>
        <v>0</v>
      </c>
      <c r="M113" s="2"/>
      <c r="N113" s="7">
        <f t="shared" si="89"/>
        <v>0</v>
      </c>
      <c r="O113" s="11"/>
      <c r="P113" s="6">
        <v>332.21</v>
      </c>
      <c r="Q113" s="2"/>
      <c r="R113" s="7">
        <f t="shared" si="90"/>
        <v>2.6655602490755466E-3</v>
      </c>
      <c r="S113" s="2"/>
      <c r="T113" s="6"/>
      <c r="U113" s="2"/>
      <c r="V113" s="7">
        <f t="shared" si="91"/>
        <v>0</v>
      </c>
      <c r="W113" s="2"/>
      <c r="X113" s="6">
        <f t="shared" si="92"/>
        <v>332.21</v>
      </c>
      <c r="Y113" s="2"/>
      <c r="Z113" s="7">
        <f t="shared" si="93"/>
        <v>0</v>
      </c>
    </row>
    <row r="114" spans="1:26" s="29" customFormat="1" outlineLevel="1" collapsed="1" x14ac:dyDescent="0.25">
      <c r="A114" s="27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SUM(OSRRefD22_21x_0)</f>
        <v>4796</v>
      </c>
      <c r="E114" s="1"/>
      <c r="F114" s="5">
        <f t="shared" ref="F114:F115" si="94">IF(D$12=0,0,D114/D$12)</f>
        <v>7.476042292950183E-2</v>
      </c>
      <c r="G114" s="1"/>
      <c r="H114" s="1">
        <f>SUM(OSRRefH22_21x_0)</f>
        <v>4121</v>
      </c>
      <c r="I114" s="1"/>
      <c r="J114" s="5">
        <f t="shared" ref="J114:J115" si="95">IF(H$12=0,0,H114/H$12)</f>
        <v>7.6020586987400621E-2</v>
      </c>
      <c r="K114" s="1"/>
      <c r="L114" s="1">
        <f t="shared" ref="L114:L115" si="96">+D114-H114</f>
        <v>675</v>
      </c>
      <c r="M114" s="1"/>
      <c r="N114" s="5">
        <f t="shared" ref="N114:N115" si="97">IF(H114=0,0,L114/H114)</f>
        <v>0.16379519534093667</v>
      </c>
      <c r="O114" s="14"/>
      <c r="P114" s="1">
        <f>SUM(OSRRefP22_21x_0)</f>
        <v>-246</v>
      </c>
      <c r="Q114" s="1"/>
      <c r="R114" s="5">
        <f t="shared" ref="R114:R115" si="98">IF(P$12=0,0,P114/P$12)</f>
        <v>-1.9738352887408101E-3</v>
      </c>
      <c r="S114" s="1"/>
      <c r="T114" s="1">
        <f>SUM(OSRRefT22_21x_0)</f>
        <v>19834</v>
      </c>
      <c r="U114" s="1"/>
      <c r="V114" s="5">
        <f t="shared" ref="V114:V115" si="99">IF(T$12=0,0,T114/T$12)</f>
        <v>8.3249736617879766E-2</v>
      </c>
      <c r="W114" s="1"/>
      <c r="X114" s="1">
        <f t="shared" ref="X114:X115" si="100">+P114-T114</f>
        <v>-20080</v>
      </c>
      <c r="Y114" s="1"/>
      <c r="Z114" s="5">
        <f t="shared" ref="Z114:Z115" si="101">IF(T114=0,0,X114/T114)</f>
        <v>-1.0124029444388425</v>
      </c>
    </row>
    <row r="115" spans="1:26" s="24" customFormat="1" hidden="1" outlineLevel="2" x14ac:dyDescent="0.25">
      <c r="A115" s="28"/>
      <c r="B115" s="11" t="str">
        <f>CONCATENATE("          ", "6274", " - ", "UTILITIES")</f>
        <v xml:space="preserve">          6274 - UTILITIES</v>
      </c>
      <c r="C115" s="11"/>
      <c r="D115" s="6">
        <v>4796</v>
      </c>
      <c r="E115" s="2"/>
      <c r="F115" s="7">
        <f t="shared" si="94"/>
        <v>7.476042292950183E-2</v>
      </c>
      <c r="G115" s="2"/>
      <c r="H115" s="6">
        <v>4121</v>
      </c>
      <c r="I115" s="2"/>
      <c r="J115" s="7">
        <f t="shared" si="95"/>
        <v>7.6020586987400621E-2</v>
      </c>
      <c r="K115" s="2"/>
      <c r="L115" s="6">
        <f t="shared" si="96"/>
        <v>675</v>
      </c>
      <c r="M115" s="2"/>
      <c r="N115" s="7">
        <f t="shared" si="97"/>
        <v>0.16379519534093667</v>
      </c>
      <c r="O115" s="11"/>
      <c r="P115" s="6">
        <v>-246</v>
      </c>
      <c r="Q115" s="2"/>
      <c r="R115" s="7">
        <f t="shared" si="98"/>
        <v>-1.9738352887408101E-3</v>
      </c>
      <c r="S115" s="2"/>
      <c r="T115" s="6">
        <v>19834</v>
      </c>
      <c r="U115" s="2"/>
      <c r="V115" s="7">
        <f t="shared" si="99"/>
        <v>8.3249736617879766E-2</v>
      </c>
      <c r="W115" s="2"/>
      <c r="X115" s="6">
        <f t="shared" si="100"/>
        <v>-20080</v>
      </c>
      <c r="Y115" s="2"/>
      <c r="Z115" s="7">
        <f t="shared" si="101"/>
        <v>-1.0124029444388425</v>
      </c>
    </row>
    <row r="116" spans="1:26" s="62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6" t="s">
        <v>0</v>
      </c>
      <c r="C117" s="10"/>
      <c r="D117" s="4">
        <f>SUM(OSRRefD25x_0)</f>
        <v>173.47</v>
      </c>
      <c r="E117" s="4"/>
      <c r="F117" s="12">
        <f t="shared" ref="F117:F121" si="102">IF(D$12=0,0,D117/D$12)</f>
        <v>2.7040639210968893E-3</v>
      </c>
      <c r="G117" s="4"/>
      <c r="H117" s="4">
        <f>SUM(OSRRefH25x_0)</f>
        <v>6378</v>
      </c>
      <c r="I117" s="4"/>
      <c r="J117" s="12">
        <f t="shared" ref="J117:J121" si="103">IF(H$12=0,0,H117/H$12)</f>
        <v>0.1176557398218008</v>
      </c>
      <c r="K117" s="4"/>
      <c r="L117" s="4">
        <f t="shared" ref="L117:L121" si="104">+D117-H117</f>
        <v>-6204.53</v>
      </c>
      <c r="M117" s="4"/>
      <c r="N117" s="12">
        <f t="shared" ref="N117:N121" si="105">IF(H117=0,0,L117/H117)</f>
        <v>-0.97280181875195981</v>
      </c>
      <c r="O117" s="10"/>
      <c r="P117" s="4">
        <f>SUM(OSRRefP25x_0)</f>
        <v>4250.67</v>
      </c>
      <c r="Q117" s="4"/>
      <c r="R117" s="12">
        <f t="shared" ref="R117:R121" si="106">IF(P$12=0,0,P117/P$12)</f>
        <v>3.4106188808097147E-2</v>
      </c>
      <c r="S117" s="4"/>
      <c r="T117" s="4">
        <f>SUM(OSRRefT25x_0)</f>
        <v>19350</v>
      </c>
      <c r="U117" s="4"/>
      <c r="V117" s="12">
        <f t="shared" ref="V117:V121" si="107">IF(T$12=0,0,T117/T$12)</f>
        <v>8.1218231499242385E-2</v>
      </c>
      <c r="W117" s="4"/>
      <c r="X117" s="4">
        <f t="shared" ref="X117:X121" si="108">+P117-T117</f>
        <v>-15099.33</v>
      </c>
      <c r="Y117" s="4"/>
      <c r="Z117" s="12">
        <f t="shared" ref="Z117:Z121" si="109">IF(T117=0,0,X117/T117)</f>
        <v>-0.78032713178294577</v>
      </c>
    </row>
    <row r="118" spans="1:26" s="24" customFormat="1" hidden="1" outlineLevel="1" x14ac:dyDescent="0.25">
      <c r="A118" s="51"/>
      <c r="B118" s="11" t="str">
        <f>CONCATENATE("          ", "9150", " - ", "MISC. INCOME")</f>
        <v xml:space="preserve">          9150 - MISC. INCOME</v>
      </c>
      <c r="C118" s="11"/>
      <c r="D118" s="2">
        <f t="shared" ref="D118:D120" si="110">0</f>
        <v>0</v>
      </c>
      <c r="E118" s="2"/>
      <c r="F118" s="22">
        <f t="shared" si="102"/>
        <v>0</v>
      </c>
      <c r="G118" s="2"/>
      <c r="H118" s="2">
        <v>3780</v>
      </c>
      <c r="I118" s="2"/>
      <c r="J118" s="22">
        <f t="shared" si="103"/>
        <v>6.9730118614990136E-2</v>
      </c>
      <c r="K118" s="2"/>
      <c r="L118" s="2">
        <f t="shared" si="104"/>
        <v>-3780</v>
      </c>
      <c r="M118" s="2"/>
      <c r="N118" s="22">
        <f t="shared" si="105"/>
        <v>-1</v>
      </c>
      <c r="O118" s="11"/>
      <c r="P118" s="2">
        <f>--923.77</f>
        <v>923.77</v>
      </c>
      <c r="Q118" s="2"/>
      <c r="R118" s="22">
        <f t="shared" si="106"/>
        <v>7.4120724580491789E-3</v>
      </c>
      <c r="S118" s="2"/>
      <c r="T118" s="2">
        <v>9186</v>
      </c>
      <c r="U118" s="2"/>
      <c r="V118" s="22">
        <f t="shared" si="107"/>
        <v>3.8556624007857393E-2</v>
      </c>
      <c r="W118" s="2"/>
      <c r="X118" s="2">
        <f t="shared" si="108"/>
        <v>-8262.23</v>
      </c>
      <c r="Y118" s="2"/>
      <c r="Z118" s="22">
        <f t="shared" si="109"/>
        <v>-0.89943718702373177</v>
      </c>
    </row>
    <row r="119" spans="1:26" s="24" customFormat="1" hidden="1" outlineLevel="1" x14ac:dyDescent="0.25">
      <c r="A119" s="51"/>
      <c r="B119" s="11" t="str">
        <f>CONCATENATE("          ", "9151", " - ", "MISC. INCOME")</f>
        <v xml:space="preserve">          9151 - MISC. INCOME</v>
      </c>
      <c r="C119" s="11"/>
      <c r="D119" s="2">
        <f t="shared" si="110"/>
        <v>0</v>
      </c>
      <c r="E119" s="2"/>
      <c r="F119" s="22">
        <f t="shared" si="102"/>
        <v>0</v>
      </c>
      <c r="G119" s="2"/>
      <c r="H119" s="2">
        <v>1408</v>
      </c>
      <c r="I119" s="2"/>
      <c r="J119" s="22">
        <f t="shared" si="103"/>
        <v>2.5973546828017488E-2</v>
      </c>
      <c r="K119" s="2"/>
      <c r="L119" s="2">
        <f t="shared" si="104"/>
        <v>-1408</v>
      </c>
      <c r="M119" s="2"/>
      <c r="N119" s="22">
        <f t="shared" si="105"/>
        <v>-1</v>
      </c>
      <c r="O119" s="11"/>
      <c r="P119" s="2">
        <f>0</f>
        <v>0</v>
      </c>
      <c r="Q119" s="2"/>
      <c r="R119" s="22">
        <f t="shared" si="106"/>
        <v>0</v>
      </c>
      <c r="S119" s="2"/>
      <c r="T119" s="2">
        <v>8418</v>
      </c>
      <c r="U119" s="2"/>
      <c r="V119" s="22">
        <f t="shared" si="107"/>
        <v>3.5333078695639397E-2</v>
      </c>
      <c r="W119" s="2"/>
      <c r="X119" s="2">
        <f t="shared" si="108"/>
        <v>-8418</v>
      </c>
      <c r="Y119" s="2"/>
      <c r="Z119" s="22">
        <f t="shared" si="109"/>
        <v>-1</v>
      </c>
    </row>
    <row r="120" spans="1:26" s="24" customFormat="1" hidden="1" outlineLevel="1" x14ac:dyDescent="0.25">
      <c r="A120" s="51"/>
      <c r="B120" s="11" t="str">
        <f>CONCATENATE("          ", "9160", " - ", "MISC. INCOME")</f>
        <v xml:space="preserve">          9160 - MISC. INCOME</v>
      </c>
      <c r="C120" s="11"/>
      <c r="D120" s="2">
        <f t="shared" si="110"/>
        <v>0</v>
      </c>
      <c r="E120" s="2"/>
      <c r="F120" s="22">
        <f t="shared" si="102"/>
        <v>0</v>
      </c>
      <c r="G120" s="2"/>
      <c r="H120" s="2">
        <v>1190</v>
      </c>
      <c r="I120" s="2"/>
      <c r="J120" s="22">
        <f t="shared" si="103"/>
        <v>2.195207437879319E-2</v>
      </c>
      <c r="K120" s="2"/>
      <c r="L120" s="2">
        <f t="shared" si="104"/>
        <v>-1190</v>
      </c>
      <c r="M120" s="2"/>
      <c r="N120" s="22">
        <f t="shared" si="105"/>
        <v>-1</v>
      </c>
      <c r="O120" s="11"/>
      <c r="P120" s="2">
        <f>--2328.25</f>
        <v>2328.25</v>
      </c>
      <c r="Q120" s="2"/>
      <c r="R120" s="22">
        <f t="shared" si="106"/>
        <v>1.8681227687035735E-2</v>
      </c>
      <c r="S120" s="2"/>
      <c r="T120" s="2">
        <v>1746</v>
      </c>
      <c r="U120" s="2"/>
      <c r="V120" s="22">
        <f t="shared" si="107"/>
        <v>7.3285287957455918E-3</v>
      </c>
      <c r="W120" s="2"/>
      <c r="X120" s="2">
        <f t="shared" si="108"/>
        <v>582.25</v>
      </c>
      <c r="Y120" s="2"/>
      <c r="Z120" s="22">
        <f t="shared" si="109"/>
        <v>0.33347651775486825</v>
      </c>
    </row>
    <row r="121" spans="1:26" s="24" customFormat="1" hidden="1" outlineLevel="1" x14ac:dyDescent="0.25">
      <c r="A121" s="51"/>
      <c r="B121" s="11" t="str">
        <f>CONCATENATE("          ", "9165", " - ", "OTHER INCOME")</f>
        <v xml:space="preserve">          9165 - OTHER INCOME</v>
      </c>
      <c r="C121" s="11"/>
      <c r="D121" s="2">
        <f>--173.47</f>
        <v>173.47</v>
      </c>
      <c r="E121" s="2"/>
      <c r="F121" s="22">
        <f t="shared" si="102"/>
        <v>2.7040639210968893E-3</v>
      </c>
      <c r="G121" s="2"/>
      <c r="H121" s="2"/>
      <c r="I121" s="2"/>
      <c r="J121" s="22">
        <f t="shared" si="103"/>
        <v>0</v>
      </c>
      <c r="K121" s="2"/>
      <c r="L121" s="2">
        <f t="shared" si="104"/>
        <v>173.47</v>
      </c>
      <c r="M121" s="2"/>
      <c r="N121" s="22">
        <f t="shared" si="105"/>
        <v>0</v>
      </c>
      <c r="O121" s="11"/>
      <c r="P121" s="2">
        <f>--998.65</f>
        <v>998.65</v>
      </c>
      <c r="Q121" s="2"/>
      <c r="R121" s="22">
        <f t="shared" si="106"/>
        <v>8.0128886630122347E-3</v>
      </c>
      <c r="S121" s="2"/>
      <c r="T121" s="2"/>
      <c r="U121" s="2"/>
      <c r="V121" s="22">
        <f t="shared" si="107"/>
        <v>0</v>
      </c>
      <c r="W121" s="2"/>
      <c r="X121" s="2">
        <f t="shared" si="108"/>
        <v>998.65</v>
      </c>
      <c r="Y121" s="2"/>
      <c r="Z121" s="22">
        <f t="shared" si="109"/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5" t="s">
        <v>3</v>
      </c>
      <c r="C123" s="25"/>
      <c r="D123" s="21">
        <f>+D28-D30+D117</f>
        <v>-76140.66</v>
      </c>
      <c r="E123" s="13"/>
      <c r="F123" s="20">
        <f>IF(D$12=0,0,D123/D$12)</f>
        <v>-1.1868865604110515</v>
      </c>
      <c r="G123" s="13"/>
      <c r="H123" s="21">
        <f>+H28-H30+H117</f>
        <v>-115824.86658231795</v>
      </c>
      <c r="I123" s="13"/>
      <c r="J123" s="20">
        <f>IF(H$12=0,0,H123/H$12)</f>
        <v>-2.1366353664948248</v>
      </c>
      <c r="K123" s="16"/>
      <c r="L123" s="21">
        <f>+D123-H123</f>
        <v>39684.206582317944</v>
      </c>
      <c r="M123" s="16"/>
      <c r="N123" s="20">
        <f>IF(H123=0,0,L123/H123)</f>
        <v>-0.34262251063431154</v>
      </c>
      <c r="O123" s="26"/>
      <c r="P123" s="21">
        <f>+P28-P30+P117</f>
        <v>-605430.40999999957</v>
      </c>
      <c r="Q123" s="13"/>
      <c r="R123" s="20">
        <f>IF(P$12=0,0,P123/P$12)</f>
        <v>-4.8578045046130738</v>
      </c>
      <c r="S123" s="13"/>
      <c r="T123" s="21">
        <f>+T28-T30+T117</f>
        <v>-636589.15111055889</v>
      </c>
      <c r="U123" s="13"/>
      <c r="V123" s="20">
        <f>IF(T$12=0,0,T123/T$12)</f>
        <v>-2.6719713201448871</v>
      </c>
      <c r="W123" s="16"/>
      <c r="X123" s="21">
        <f>+P123-T123</f>
        <v>31158.74111055932</v>
      </c>
      <c r="Y123" s="16"/>
      <c r="Z123" s="20">
        <f>IF(T123=0,0,X123/T123)</f>
        <v>-4.8946390393555202E-2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6709.09</v>
      </c>
      <c r="E125" s="4"/>
      <c r="F125" s="12">
        <f>IF(D$12=0,0,D125/D$12)</f>
        <v>0.10458181940619088</v>
      </c>
      <c r="G125" s="4"/>
      <c r="H125" s="4">
        <v>12360</v>
      </c>
      <c r="I125" s="4"/>
      <c r="J125" s="12">
        <f>IF(H$12=0,0,H125/H$12)</f>
        <v>0.22800641959822171</v>
      </c>
      <c r="K125" s="4"/>
      <c r="L125" s="4">
        <f>+D125-H125</f>
        <v>-5650.91</v>
      </c>
      <c r="M125" s="4"/>
      <c r="N125" s="12">
        <f>IF(H125=0,0,L125/H125)</f>
        <v>-0.45719336569579289</v>
      </c>
      <c r="O125" s="10"/>
      <c r="P125" s="4">
        <v>19810.129999999997</v>
      </c>
      <c r="Q125" s="4"/>
      <c r="R125" s="12">
        <f>IF(P$12=0,0,P125/P$12)</f>
        <v>0.15895094987212591</v>
      </c>
      <c r="S125" s="4"/>
      <c r="T125" s="4">
        <v>42490</v>
      </c>
      <c r="U125" s="4"/>
      <c r="V125" s="12">
        <f>IF(T$12=0,0,T125/T$12)</f>
        <v>0.17834432332831054</v>
      </c>
      <c r="W125" s="4"/>
      <c r="X125" s="4">
        <f>+P125-T125</f>
        <v>-22679.870000000003</v>
      </c>
      <c r="Y125" s="4"/>
      <c r="Z125" s="12">
        <f>IF(T125=0,0,X125/T125)</f>
        <v>-0.5337695928453754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4</v>
      </c>
      <c r="C127" s="25"/>
      <c r="D127" s="31">
        <f>+D123-D125</f>
        <v>-82849.75</v>
      </c>
      <c r="E127" s="13"/>
      <c r="F127" s="34">
        <f>IF(D$12=0,0,D127/D$12)</f>
        <v>-1.2914683798172424</v>
      </c>
      <c r="G127" s="13"/>
      <c r="H127" s="31">
        <f>+H123-H125</f>
        <v>-128184.86658231795</v>
      </c>
      <c r="I127" s="13"/>
      <c r="J127" s="34">
        <f>IF(H$12=0,0,H127/H$12)</f>
        <v>-2.3646417860930464</v>
      </c>
      <c r="K127" s="16"/>
      <c r="L127" s="31">
        <f>D127-H127</f>
        <v>45335.116582317947</v>
      </c>
      <c r="M127" s="16"/>
      <c r="N127" s="34">
        <f>IF(H127=0,0,L127/H127)</f>
        <v>-0.35366980355051958</v>
      </c>
      <c r="O127" s="26"/>
      <c r="P127" s="31">
        <f>+P123-P125</f>
        <v>-625240.53999999957</v>
      </c>
      <c r="Q127" s="13"/>
      <c r="R127" s="34">
        <f>IF(P$12=0,0,P127/P$12)</f>
        <v>-5.0167554544851996</v>
      </c>
      <c r="S127" s="13"/>
      <c r="T127" s="31">
        <f>+T123-T125</f>
        <v>-679079.15111055889</v>
      </c>
      <c r="U127" s="13"/>
      <c r="V127" s="34">
        <f>IF(T$12=0,0,T127/T$12)</f>
        <v>-2.8503156434731975</v>
      </c>
      <c r="W127" s="16"/>
      <c r="X127" s="31">
        <f>P127-T127</f>
        <v>53838.611110559315</v>
      </c>
      <c r="Y127" s="16"/>
      <c r="Z127" s="34">
        <f>IF(T127=0,0,X127/T127)</f>
        <v>-7.9281790675670455E-2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5" t="s">
        <v>5</v>
      </c>
      <c r="C130" s="25"/>
      <c r="D130" s="33">
        <f>SUM(D127:D129)</f>
        <v>-82849.75</v>
      </c>
      <c r="E130" s="13"/>
      <c r="F130" s="30">
        <f>IF(D$12=0,0,D130/D$12)</f>
        <v>-1.2914683798172424</v>
      </c>
      <c r="G130" s="13"/>
      <c r="H130" s="33">
        <f>SUM(H127:H129)</f>
        <v>-128184.86658231795</v>
      </c>
      <c r="I130" s="13"/>
      <c r="J130" s="30">
        <f>IF(H$12=0,0,H130/H$12)</f>
        <v>-2.3646417860930464</v>
      </c>
      <c r="K130" s="16"/>
      <c r="L130" s="33">
        <f>+D130-H130</f>
        <v>45335.116582317947</v>
      </c>
      <c r="M130" s="16"/>
      <c r="N130" s="30">
        <f>IF(H130=0,0,L130/H130)</f>
        <v>-0.35366980355051958</v>
      </c>
      <c r="O130" s="26"/>
      <c r="P130" s="33">
        <f>SUM(P127:P129)</f>
        <v>-625240.53999999957</v>
      </c>
      <c r="Q130" s="13"/>
      <c r="R130" s="30">
        <f>IF(P$12=0,0,P130/P$12)</f>
        <v>-5.0167554544851996</v>
      </c>
      <c r="S130" s="13"/>
      <c r="T130" s="33">
        <f>SUM(T127:T129)</f>
        <v>-679079.15111055889</v>
      </c>
      <c r="U130" s="13"/>
      <c r="V130" s="30">
        <f>IF(T$12=0,0,T130/T$12)</f>
        <v>-2.8503156434731975</v>
      </c>
      <c r="W130" s="16"/>
      <c r="X130" s="33">
        <f>+P130-T130</f>
        <v>53838.611110559315</v>
      </c>
      <c r="Y130" s="16"/>
      <c r="Z130" s="30">
        <f>IF(T130=0,0,X130/T130)</f>
        <v>-7.9281790675670455E-2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5">
        <v>44174.679202314815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7" t="s">
        <v>314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63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64151.59</v>
      </c>
      <c r="E12" s="4"/>
      <c r="F12" s="12"/>
      <c r="G12" s="4"/>
      <c r="H12" s="4">
        <f>SUM(OSRRefH13x_0)</f>
        <v>15674</v>
      </c>
      <c r="I12" s="4"/>
      <c r="J12" s="12"/>
      <c r="K12" s="4"/>
      <c r="L12" s="4">
        <f t="shared" ref="L12:L18" si="0">+D12-H12</f>
        <v>48477.59</v>
      </c>
      <c r="M12" s="4"/>
      <c r="N12" s="12">
        <f t="shared" ref="N12:N18" si="1">IF(H12=0,0,L12/H12)</f>
        <v>3.0928665305601633</v>
      </c>
      <c r="O12" s="10"/>
      <c r="P12" s="4">
        <f>SUM(OSRRefP13x_0)</f>
        <v>122043.98999999999</v>
      </c>
      <c r="Q12" s="4"/>
      <c r="R12" s="12"/>
      <c r="S12" s="4"/>
      <c r="T12" s="4">
        <f>SUM(OSRRefT13x_0)</f>
        <v>77190</v>
      </c>
      <c r="U12" s="4"/>
      <c r="V12" s="12"/>
      <c r="W12" s="4"/>
      <c r="X12" s="4">
        <f t="shared" ref="X12:X18" si="2">+P12-T12</f>
        <v>44853.989999999991</v>
      </c>
      <c r="Y12" s="4"/>
      <c r="Z12" s="12">
        <f t="shared" ref="Z12:Z18" si="3">IF(T12=0,0,X12/T12)</f>
        <v>0.58108550330353659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4875</v>
      </c>
      <c r="I13" s="2"/>
      <c r="J13" s="22"/>
      <c r="K13" s="2"/>
      <c r="L13" s="2">
        <f t="shared" si="0"/>
        <v>-4875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24008</v>
      </c>
      <c r="U13" s="2"/>
      <c r="V13" s="22"/>
      <c r="W13" s="2"/>
      <c r="X13" s="2">
        <f t="shared" si="2"/>
        <v>-24008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--4501.27</f>
        <v>4501.2700000000004</v>
      </c>
      <c r="E14" s="2"/>
      <c r="F14" s="22"/>
      <c r="G14" s="2"/>
      <c r="H14" s="2"/>
      <c r="I14" s="2"/>
      <c r="J14" s="22"/>
      <c r="K14" s="2"/>
      <c r="L14" s="2">
        <f t="shared" si="0"/>
        <v>4501.2700000000004</v>
      </c>
      <c r="M14" s="2"/>
      <c r="N14" s="22">
        <f t="shared" si="1"/>
        <v>0</v>
      </c>
      <c r="O14" s="11"/>
      <c r="P14" s="2">
        <f>--17251.21</f>
        <v>17251.21</v>
      </c>
      <c r="Q14" s="2"/>
      <c r="R14" s="22"/>
      <c r="S14" s="2"/>
      <c r="T14" s="2"/>
      <c r="U14" s="2"/>
      <c r="V14" s="22"/>
      <c r="W14" s="2"/>
      <c r="X14" s="2">
        <f t="shared" si="2"/>
        <v>17251.21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--55493.87</f>
        <v>55493.87</v>
      </c>
      <c r="E15" s="2"/>
      <c r="F15" s="22"/>
      <c r="G15" s="2"/>
      <c r="H15" s="2"/>
      <c r="I15" s="2"/>
      <c r="J15" s="22"/>
      <c r="K15" s="2"/>
      <c r="L15" s="2">
        <f t="shared" si="0"/>
        <v>55493.87</v>
      </c>
      <c r="M15" s="2"/>
      <c r="N15" s="22">
        <f t="shared" si="1"/>
        <v>0</v>
      </c>
      <c r="O15" s="11"/>
      <c r="P15" s="2">
        <f>--85725.16</f>
        <v>85725.16</v>
      </c>
      <c r="Q15" s="2"/>
      <c r="R15" s="22"/>
      <c r="S15" s="2"/>
      <c r="T15" s="2"/>
      <c r="U15" s="2"/>
      <c r="V15" s="22"/>
      <c r="W15" s="2"/>
      <c r="X15" s="2">
        <f t="shared" si="2"/>
        <v>85725.16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10799</v>
      </c>
      <c r="I17" s="2"/>
      <c r="J17" s="22"/>
      <c r="K17" s="2"/>
      <c r="L17" s="2">
        <f t="shared" si="0"/>
        <v>-10799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53182</v>
      </c>
      <c r="U17" s="2"/>
      <c r="V17" s="22"/>
      <c r="W17" s="2"/>
      <c r="X17" s="2">
        <f t="shared" si="2"/>
        <v>-53182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>--4156.45</f>
        <v>4156.45</v>
      </c>
      <c r="E18" s="2"/>
      <c r="F18" s="22"/>
      <c r="G18" s="2"/>
      <c r="H18" s="2"/>
      <c r="I18" s="2"/>
      <c r="J18" s="22"/>
      <c r="K18" s="2"/>
      <c r="L18" s="2">
        <f t="shared" si="0"/>
        <v>4156.45</v>
      </c>
      <c r="M18" s="2"/>
      <c r="N18" s="22">
        <f t="shared" si="1"/>
        <v>0</v>
      </c>
      <c r="O18" s="11"/>
      <c r="P18" s="2">
        <f>--18092.71</f>
        <v>18092.71</v>
      </c>
      <c r="Q18" s="2"/>
      <c r="R18" s="22"/>
      <c r="S18" s="2"/>
      <c r="T18" s="2"/>
      <c r="U18" s="2"/>
      <c r="V18" s="22"/>
      <c r="W18" s="2"/>
      <c r="X18" s="2">
        <f t="shared" si="2"/>
        <v>18092.71</v>
      </c>
      <c r="Y18" s="2"/>
      <c r="Z18" s="22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8</v>
      </c>
      <c r="C20" s="10"/>
      <c r="D20" s="4">
        <f>SUM(OSRRefD16x_0)</f>
        <v>2843.9300000000003</v>
      </c>
      <c r="E20" s="4"/>
      <c r="F20" s="12">
        <f t="shared" ref="F20:F23" si="5">IF(D$12=0,0,D20/D$12)</f>
        <v>4.4331403165533391E-2</v>
      </c>
      <c r="G20" s="4"/>
      <c r="H20" s="4">
        <f>SUM(OSRRefH16x_0)</f>
        <v>5172</v>
      </c>
      <c r="I20" s="4"/>
      <c r="J20" s="12">
        <f t="shared" ref="J20:J23" si="6">IF(H$12=0,0,H20/H$12)</f>
        <v>0.32997320403215519</v>
      </c>
      <c r="K20" s="4"/>
      <c r="L20" s="4">
        <f t="shared" ref="L20:L23" si="7">+D20-H20</f>
        <v>-2328.0699999999997</v>
      </c>
      <c r="M20" s="4"/>
      <c r="N20" s="12">
        <f t="shared" ref="N20:N23" si="8">IF(H20=0,0,L20/H20)</f>
        <v>-0.450129543696829</v>
      </c>
      <c r="O20" s="10"/>
      <c r="P20" s="4">
        <f>SUM(OSRRefP16x_0)</f>
        <v>14656.4</v>
      </c>
      <c r="Q20" s="4"/>
      <c r="R20" s="12">
        <f t="shared" ref="R20:R23" si="9">IF(P$12=0,0,P20/P$12)</f>
        <v>0.12009112451993745</v>
      </c>
      <c r="S20" s="4"/>
      <c r="T20" s="4">
        <f>SUM(OSRRefT16x_0)</f>
        <v>24480</v>
      </c>
      <c r="U20" s="4"/>
      <c r="V20" s="12">
        <f t="shared" ref="V20:V23" si="10">IF(T$12=0,0,T20/T$12)</f>
        <v>0.31713952584531674</v>
      </c>
      <c r="W20" s="4"/>
      <c r="X20" s="4">
        <f t="shared" ref="X20:X23" si="11">+P20-T20</f>
        <v>-9823.6</v>
      </c>
      <c r="Y20" s="4"/>
      <c r="Z20" s="12">
        <f t="shared" ref="Z20:Z23" si="12">IF(T20=0,0,X20/T20)</f>
        <v>-0.40129084967320261</v>
      </c>
    </row>
    <row r="21" spans="1:26" s="24" customFormat="1" hidden="1" outlineLevel="1" x14ac:dyDescent="0.2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5"/>
        <v>0</v>
      </c>
      <c r="G21" s="2"/>
      <c r="H21" s="2">
        <v>5172</v>
      </c>
      <c r="I21" s="2"/>
      <c r="J21" s="22">
        <f t="shared" si="6"/>
        <v>0.32997320403215519</v>
      </c>
      <c r="K21" s="2"/>
      <c r="L21" s="2">
        <f t="shared" si="7"/>
        <v>-5172</v>
      </c>
      <c r="M21" s="2"/>
      <c r="N21" s="22">
        <f t="shared" si="8"/>
        <v>-1</v>
      </c>
      <c r="O21" s="11"/>
      <c r="P21" s="2"/>
      <c r="Q21" s="2"/>
      <c r="R21" s="22">
        <f t="shared" si="9"/>
        <v>0</v>
      </c>
      <c r="S21" s="2"/>
      <c r="T21" s="2">
        <v>24480</v>
      </c>
      <c r="U21" s="2"/>
      <c r="V21" s="22">
        <f t="shared" si="10"/>
        <v>0.31713952584531674</v>
      </c>
      <c r="W21" s="2"/>
      <c r="X21" s="2">
        <f t="shared" si="11"/>
        <v>-24480</v>
      </c>
      <c r="Y21" s="2"/>
      <c r="Z21" s="22">
        <f t="shared" si="12"/>
        <v>-1</v>
      </c>
    </row>
    <row r="22" spans="1:26" s="24" customFormat="1" hidden="1" outlineLevel="1" x14ac:dyDescent="0.2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1847.93</v>
      </c>
      <c r="E22" s="2"/>
      <c r="F22" s="22">
        <f t="shared" si="5"/>
        <v>2.8805677302776129E-2</v>
      </c>
      <c r="G22" s="2"/>
      <c r="H22" s="2"/>
      <c r="I22" s="2"/>
      <c r="J22" s="22">
        <f t="shared" si="6"/>
        <v>0</v>
      </c>
      <c r="K22" s="2"/>
      <c r="L22" s="2">
        <f t="shared" si="7"/>
        <v>1847.93</v>
      </c>
      <c r="M22" s="2"/>
      <c r="N22" s="22">
        <f t="shared" si="8"/>
        <v>0</v>
      </c>
      <c r="O22" s="11"/>
      <c r="P22" s="2">
        <v>11477.34</v>
      </c>
      <c r="Q22" s="2"/>
      <c r="R22" s="22">
        <f t="shared" si="9"/>
        <v>9.404264806484941E-2</v>
      </c>
      <c r="S22" s="2"/>
      <c r="T22" s="2"/>
      <c r="U22" s="2"/>
      <c r="V22" s="22">
        <f t="shared" si="10"/>
        <v>0</v>
      </c>
      <c r="W22" s="2"/>
      <c r="X22" s="2">
        <f t="shared" si="11"/>
        <v>11477.34</v>
      </c>
      <c r="Y22" s="2"/>
      <c r="Z22" s="22">
        <f t="shared" si="12"/>
        <v>0</v>
      </c>
    </row>
    <row r="23" spans="1:26" s="24" customFormat="1" hidden="1" outlineLevel="1" x14ac:dyDescent="0.2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996</v>
      </c>
      <c r="E23" s="2"/>
      <c r="F23" s="22">
        <f t="shared" si="5"/>
        <v>1.552572586275726E-2</v>
      </c>
      <c r="G23" s="2"/>
      <c r="H23" s="2"/>
      <c r="I23" s="2"/>
      <c r="J23" s="22">
        <f t="shared" si="6"/>
        <v>0</v>
      </c>
      <c r="K23" s="2"/>
      <c r="L23" s="2">
        <f t="shared" si="7"/>
        <v>996</v>
      </c>
      <c r="M23" s="2"/>
      <c r="N23" s="22">
        <f t="shared" si="8"/>
        <v>0</v>
      </c>
      <c r="O23" s="11"/>
      <c r="P23" s="2">
        <v>3179.06</v>
      </c>
      <c r="Q23" s="2"/>
      <c r="R23" s="22">
        <f t="shared" si="9"/>
        <v>2.6048476455088041E-2</v>
      </c>
      <c r="S23" s="2"/>
      <c r="T23" s="2"/>
      <c r="U23" s="2"/>
      <c r="V23" s="22">
        <f t="shared" si="10"/>
        <v>0</v>
      </c>
      <c r="W23" s="2"/>
      <c r="X23" s="2">
        <f t="shared" si="11"/>
        <v>3179.06</v>
      </c>
      <c r="Y23" s="2"/>
      <c r="Z23" s="22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6</v>
      </c>
      <c r="C25" s="25"/>
      <c r="D25" s="21">
        <f>D12-D20</f>
        <v>61307.659999999996</v>
      </c>
      <c r="E25" s="13"/>
      <c r="F25" s="20">
        <f>IF(D$12=0,0,D25/D$12)</f>
        <v>0.95566859683446659</v>
      </c>
      <c r="G25" s="13"/>
      <c r="H25" s="21">
        <f>H12-H20</f>
        <v>10502</v>
      </c>
      <c r="I25" s="13"/>
      <c r="J25" s="20">
        <f>IF(H$12=0,0,H25/H$12)</f>
        <v>0.67002679596784487</v>
      </c>
      <c r="K25" s="16"/>
      <c r="L25" s="21">
        <f>+D25-H25</f>
        <v>50805.659999999996</v>
      </c>
      <c r="M25" s="16"/>
      <c r="N25" s="20">
        <f>IF(H25=0,0,L25/H25)</f>
        <v>4.8377128166063601</v>
      </c>
      <c r="O25" s="26"/>
      <c r="P25" s="21">
        <f>P12-P20</f>
        <v>107387.59</v>
      </c>
      <c r="Q25" s="13"/>
      <c r="R25" s="20">
        <f>IF(P$12=0,0,P25/P$12)</f>
        <v>0.87990887548006258</v>
      </c>
      <c r="S25" s="13"/>
      <c r="T25" s="21">
        <f>T12-T20</f>
        <v>52710</v>
      </c>
      <c r="U25" s="13"/>
      <c r="V25" s="20">
        <f>IF(T$12=0,0,T25/T$12)</f>
        <v>0.68286047415468321</v>
      </c>
      <c r="W25" s="16"/>
      <c r="X25" s="21">
        <f>+P25-T25</f>
        <v>54677.59</v>
      </c>
      <c r="Y25" s="16"/>
      <c r="Z25" s="20">
        <f>IF(T25=0,0,X25/T25)</f>
        <v>1.0373285904003036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9</v>
      </c>
      <c r="C27" s="10"/>
      <c r="D27" s="19">
        <f>SUM(OSRRefD22x_0)</f>
        <v>111877.00000000001</v>
      </c>
      <c r="E27" s="19"/>
      <c r="F27" s="35">
        <f t="shared" ref="F27:F37" si="13">IF(D$12=0,0,D27/D$12)</f>
        <v>1.7439474220358375</v>
      </c>
      <c r="G27" s="19"/>
      <c r="H27" s="19">
        <f>SUM(OSRRefH22x_0)</f>
        <v>105016.24936611795</v>
      </c>
      <c r="I27" s="19"/>
      <c r="J27" s="35">
        <f t="shared" ref="J27:J37" si="14">IF(H$12=0,0,H27/H$12)</f>
        <v>6.7000286695239213</v>
      </c>
      <c r="K27" s="4"/>
      <c r="L27" s="19">
        <f t="shared" ref="L27:L37" si="15">+D27-H27</f>
        <v>6860.7506338820676</v>
      </c>
      <c r="M27" s="4"/>
      <c r="N27" s="35">
        <f t="shared" ref="N27:N37" si="16">IF(H27=0,0,L27/H27)</f>
        <v>6.5330371969041151E-2</v>
      </c>
      <c r="O27" s="10"/>
      <c r="P27" s="19">
        <f>SUM(OSRRefP22x_0)</f>
        <v>559233.03</v>
      </c>
      <c r="Q27" s="19"/>
      <c r="R27" s="35">
        <f t="shared" ref="R27:R37" si="17">IF(P$12=0,0,P27/P$12)</f>
        <v>4.5822250649130698</v>
      </c>
      <c r="S27" s="19"/>
      <c r="T27" s="19">
        <f>SUM(OSRRefT22x_0)</f>
        <v>547376.79625005904</v>
      </c>
      <c r="U27" s="19"/>
      <c r="V27" s="35">
        <f t="shared" ref="V27:V37" si="18">IF(T$12=0,0,T27/T$12)</f>
        <v>7.0912915695045866</v>
      </c>
      <c r="W27" s="4"/>
      <c r="X27" s="19">
        <f t="shared" ref="X27:X37" si="19">+P27-T27</f>
        <v>11856.233749940991</v>
      </c>
      <c r="Y27" s="4"/>
      <c r="Z27" s="35">
        <f t="shared" ref="Z27:Z37" si="20">IF(T27=0,0,X27/T27)</f>
        <v>2.1660095625472383E-2</v>
      </c>
    </row>
    <row r="28" spans="1:26" s="29" customFormat="1" outlineLevel="1" collapsed="1" x14ac:dyDescent="0.2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20748.71</v>
      </c>
      <c r="E28" s="1"/>
      <c r="F28" s="5">
        <f t="shared" si="13"/>
        <v>0.32343251351992991</v>
      </c>
      <c r="G28" s="1"/>
      <c r="H28" s="1">
        <f>SUM(OSRRefH22_0x_0)</f>
        <v>12813.674340476928</v>
      </c>
      <c r="I28" s="1"/>
      <c r="J28" s="5">
        <f t="shared" si="14"/>
        <v>0.81751144190869773</v>
      </c>
      <c r="K28" s="1"/>
      <c r="L28" s="1">
        <f t="shared" si="15"/>
        <v>7935.0356595230714</v>
      </c>
      <c r="M28" s="1"/>
      <c r="N28" s="5">
        <f t="shared" si="16"/>
        <v>0.61926309727235718</v>
      </c>
      <c r="O28" s="14"/>
      <c r="P28" s="1">
        <f>SUM(OSRRefP22_0x_0)</f>
        <v>112841.71</v>
      </c>
      <c r="Q28" s="1"/>
      <c r="R28" s="5">
        <f t="shared" si="17"/>
        <v>0.92459866315416284</v>
      </c>
      <c r="S28" s="1"/>
      <c r="T28" s="1">
        <f>SUM(OSRRefT22_0x_0)</f>
        <v>69822.852275700017</v>
      </c>
      <c r="U28" s="1"/>
      <c r="V28" s="5">
        <f t="shared" si="18"/>
        <v>0.90455826241352533</v>
      </c>
      <c r="W28" s="1"/>
      <c r="X28" s="1">
        <f t="shared" si="19"/>
        <v>43018.857724299989</v>
      </c>
      <c r="Y28" s="1"/>
      <c r="Z28" s="5">
        <f t="shared" si="20"/>
        <v>0.61611429957683861</v>
      </c>
    </row>
    <row r="29" spans="1:26" s="24" customFormat="1" hidden="1" outlineLevel="2" x14ac:dyDescent="0.25">
      <c r="A29" s="28"/>
      <c r="B29" s="11" t="str">
        <f>CONCATENATE("          ", "6111", " - ", "F.I.C.A.")</f>
        <v xml:space="preserve">          6111 - F.I.C.A.</v>
      </c>
      <c r="C29" s="11"/>
      <c r="D29" s="6">
        <v>1721.11</v>
      </c>
      <c r="E29" s="2"/>
      <c r="F29" s="7">
        <f t="shared" si="13"/>
        <v>2.6828797228564405E-2</v>
      </c>
      <c r="G29" s="2"/>
      <c r="H29" s="6">
        <v>1454.208578169231</v>
      </c>
      <c r="I29" s="2"/>
      <c r="J29" s="7">
        <f t="shared" si="14"/>
        <v>9.2778395953121789E-2</v>
      </c>
      <c r="K29" s="2"/>
      <c r="L29" s="6">
        <f t="shared" si="15"/>
        <v>266.90142183076887</v>
      </c>
      <c r="M29" s="2"/>
      <c r="N29" s="7">
        <f t="shared" si="16"/>
        <v>0.18353723519275561</v>
      </c>
      <c r="O29" s="11"/>
      <c r="P29" s="6">
        <v>14068.9</v>
      </c>
      <c r="Q29" s="2"/>
      <c r="R29" s="7">
        <f t="shared" si="17"/>
        <v>0.11527728649317349</v>
      </c>
      <c r="S29" s="2"/>
      <c r="T29" s="6">
        <v>8333.0424599307735</v>
      </c>
      <c r="U29" s="2"/>
      <c r="V29" s="7">
        <f t="shared" si="18"/>
        <v>0.10795494830846966</v>
      </c>
      <c r="W29" s="2"/>
      <c r="X29" s="6">
        <f t="shared" si="19"/>
        <v>5735.8575400692262</v>
      </c>
      <c r="Y29" s="2"/>
      <c r="Z29" s="7">
        <f t="shared" si="20"/>
        <v>0.68832693072787687</v>
      </c>
    </row>
    <row r="30" spans="1:26" s="24" customFormat="1" hidden="1" outlineLevel="2" x14ac:dyDescent="0.25">
      <c r="A30" s="28"/>
      <c r="B30" s="11" t="str">
        <f>CONCATENATE("          ", "6112", " - ", "COMPENSATION INSURANCE")</f>
        <v xml:space="preserve">          6112 - COMPENSATION INSURANCE</v>
      </c>
      <c r="C30" s="11"/>
      <c r="D30" s="6">
        <v>1146.3</v>
      </c>
      <c r="E30" s="2"/>
      <c r="F30" s="7">
        <f t="shared" si="13"/>
        <v>1.7868614012528761E-2</v>
      </c>
      <c r="G30" s="2"/>
      <c r="H30" s="6">
        <v>526.96898353846154</v>
      </c>
      <c r="I30" s="2"/>
      <c r="J30" s="7">
        <f t="shared" si="14"/>
        <v>3.3620580805056879E-2</v>
      </c>
      <c r="K30" s="2"/>
      <c r="L30" s="6">
        <f t="shared" si="15"/>
        <v>619.33101646153841</v>
      </c>
      <c r="M30" s="2"/>
      <c r="N30" s="7">
        <f t="shared" si="16"/>
        <v>1.1752703400167681</v>
      </c>
      <c r="O30" s="11"/>
      <c r="P30" s="6">
        <v>3810.4</v>
      </c>
      <c r="Q30" s="2"/>
      <c r="R30" s="7">
        <f t="shared" si="17"/>
        <v>3.1221529220734266E-2</v>
      </c>
      <c r="S30" s="2"/>
      <c r="T30" s="6">
        <v>2959.3503694615383</v>
      </c>
      <c r="U30" s="2"/>
      <c r="V30" s="7">
        <f t="shared" si="18"/>
        <v>3.8338520138120717E-2</v>
      </c>
      <c r="W30" s="2"/>
      <c r="X30" s="6">
        <f t="shared" si="19"/>
        <v>851.04963053846177</v>
      </c>
      <c r="Y30" s="2"/>
      <c r="Z30" s="7">
        <f t="shared" si="20"/>
        <v>0.28757988216627167</v>
      </c>
    </row>
    <row r="31" spans="1:26" s="24" customFormat="1" hidden="1" outlineLevel="2" x14ac:dyDescent="0.25">
      <c r="A31" s="28"/>
      <c r="B31" s="11" t="str">
        <f>CONCATENATE("          ", "6113", " - ", "GROUP INSURANCE")</f>
        <v xml:space="preserve">          6113 - GROUP INSURANCE</v>
      </c>
      <c r="C31" s="11"/>
      <c r="D31" s="6">
        <v>8662.99</v>
      </c>
      <c r="E31" s="2"/>
      <c r="F31" s="7">
        <f t="shared" si="13"/>
        <v>0.13503936535322039</v>
      </c>
      <c r="G31" s="2"/>
      <c r="H31" s="6">
        <v>7032.6923076923094</v>
      </c>
      <c r="I31" s="2"/>
      <c r="J31" s="7">
        <f t="shared" si="14"/>
        <v>0.44868523080849237</v>
      </c>
      <c r="K31" s="2"/>
      <c r="L31" s="6">
        <f t="shared" si="15"/>
        <v>1630.2976923076903</v>
      </c>
      <c r="M31" s="2"/>
      <c r="N31" s="7">
        <f t="shared" si="16"/>
        <v>0.23181700847689329</v>
      </c>
      <c r="O31" s="11"/>
      <c r="P31" s="6">
        <v>52268.86</v>
      </c>
      <c r="Q31" s="2"/>
      <c r="R31" s="7">
        <f t="shared" si="17"/>
        <v>0.42827885256783232</v>
      </c>
      <c r="S31" s="2"/>
      <c r="T31" s="6">
        <v>37630.38461538461</v>
      </c>
      <c r="U31" s="2"/>
      <c r="V31" s="7">
        <f t="shared" si="18"/>
        <v>0.48750336332924743</v>
      </c>
      <c r="W31" s="2"/>
      <c r="X31" s="6">
        <f t="shared" si="19"/>
        <v>14638.475384615391</v>
      </c>
      <c r="Y31" s="2"/>
      <c r="Z31" s="7">
        <f t="shared" si="20"/>
        <v>0.38900679688058976</v>
      </c>
    </row>
    <row r="32" spans="1:26" s="24" customFormat="1" hidden="1" outlineLevel="2" x14ac:dyDescent="0.25">
      <c r="A32" s="28"/>
      <c r="B32" s="11" t="str">
        <f>CONCATENATE("          ", "6114", " - ", "STATE UNEMPLOYMENT INSURANCE")</f>
        <v xml:space="preserve">          6114 - STATE UNEMPLOYMENT INSURANCE</v>
      </c>
      <c r="C32" s="11"/>
      <c r="D32" s="6">
        <v>169.23</v>
      </c>
      <c r="E32" s="2"/>
      <c r="F32" s="7">
        <f t="shared" si="13"/>
        <v>2.6379704696329427E-3</v>
      </c>
      <c r="G32" s="2"/>
      <c r="H32" s="6">
        <v>58.503667999999998</v>
      </c>
      <c r="I32" s="2"/>
      <c r="J32" s="7">
        <f t="shared" si="14"/>
        <v>3.7325295393645526E-3</v>
      </c>
      <c r="K32" s="2"/>
      <c r="L32" s="6">
        <f t="shared" si="15"/>
        <v>110.72633199999999</v>
      </c>
      <c r="M32" s="2"/>
      <c r="N32" s="7">
        <f t="shared" si="16"/>
        <v>1.8926391418739761</v>
      </c>
      <c r="O32" s="11"/>
      <c r="P32" s="6">
        <v>508.27</v>
      </c>
      <c r="Q32" s="2"/>
      <c r="R32" s="7">
        <f t="shared" si="17"/>
        <v>4.1646458789162824E-3</v>
      </c>
      <c r="S32" s="2"/>
      <c r="T32" s="6">
        <v>325.468414</v>
      </c>
      <c r="U32" s="2"/>
      <c r="V32" s="7">
        <f t="shared" si="18"/>
        <v>4.2164582717968647E-3</v>
      </c>
      <c r="W32" s="2"/>
      <c r="X32" s="6">
        <f t="shared" si="19"/>
        <v>182.80158599999999</v>
      </c>
      <c r="Y32" s="2"/>
      <c r="Z32" s="7">
        <f t="shared" si="20"/>
        <v>0.56165691703650233</v>
      </c>
    </row>
    <row r="33" spans="1:26" s="24" customFormat="1" hidden="1" outlineLevel="2" x14ac:dyDescent="0.25">
      <c r="A33" s="28"/>
      <c r="B33" s="11" t="str">
        <f>CONCATENATE("          ", "6115", " - ", "P.E.R.S.")</f>
        <v xml:space="preserve">          6115 - P.E.R.S.</v>
      </c>
      <c r="C33" s="11"/>
      <c r="D33" s="6">
        <v>4708.12</v>
      </c>
      <c r="E33" s="2"/>
      <c r="F33" s="7">
        <f t="shared" si="13"/>
        <v>7.3390542619442486E-2</v>
      </c>
      <c r="G33" s="2"/>
      <c r="H33" s="6">
        <v>1386.1317261538459</v>
      </c>
      <c r="I33" s="2"/>
      <c r="J33" s="7">
        <f t="shared" si="14"/>
        <v>8.8435098006497764E-2</v>
      </c>
      <c r="K33" s="2"/>
      <c r="L33" s="6">
        <f t="shared" si="15"/>
        <v>3321.9882738461538</v>
      </c>
      <c r="M33" s="2"/>
      <c r="N33" s="7">
        <f t="shared" si="16"/>
        <v>2.3965891633285135</v>
      </c>
      <c r="O33" s="11"/>
      <c r="P33" s="6">
        <v>17515.929999999997</v>
      </c>
      <c r="Q33" s="2"/>
      <c r="R33" s="7">
        <f t="shared" si="17"/>
        <v>0.14352144665214567</v>
      </c>
      <c r="S33" s="2"/>
      <c r="T33" s="6">
        <v>7623.7244938461581</v>
      </c>
      <c r="U33" s="2"/>
      <c r="V33" s="7">
        <f t="shared" si="18"/>
        <v>9.8765701436017081E-2</v>
      </c>
      <c r="W33" s="2"/>
      <c r="X33" s="6">
        <f t="shared" si="19"/>
        <v>9892.2055061538376</v>
      </c>
      <c r="Y33" s="2"/>
      <c r="Z33" s="7">
        <f t="shared" si="20"/>
        <v>1.2975554814630026</v>
      </c>
    </row>
    <row r="34" spans="1:26" s="24" customFormat="1" hidden="1" outlineLevel="2" x14ac:dyDescent="0.25">
      <c r="A34" s="28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8"/>
      <c r="B35" s="11" t="str">
        <f>CONCATENATE("          ", "6118", " - ", "VACATION")</f>
        <v xml:space="preserve">          6118 - VACATION</v>
      </c>
      <c r="C35" s="11"/>
      <c r="D35" s="6">
        <v>2400.38</v>
      </c>
      <c r="E35" s="2"/>
      <c r="F35" s="7">
        <f t="shared" si="13"/>
        <v>3.7417311090808508E-2</v>
      </c>
      <c r="G35" s="2"/>
      <c r="H35" s="6">
        <v>1503.55207692308</v>
      </c>
      <c r="I35" s="2"/>
      <c r="J35" s="7">
        <f t="shared" si="14"/>
        <v>9.5926507395883626E-2</v>
      </c>
      <c r="K35" s="2"/>
      <c r="L35" s="6">
        <f t="shared" si="15"/>
        <v>896.82792307692011</v>
      </c>
      <c r="M35" s="2"/>
      <c r="N35" s="7">
        <f t="shared" si="16"/>
        <v>0.59647280386338142</v>
      </c>
      <c r="O35" s="11"/>
      <c r="P35" s="6">
        <v>13684.92</v>
      </c>
      <c r="Q35" s="2"/>
      <c r="R35" s="7">
        <f t="shared" si="17"/>
        <v>0.11213104389654911</v>
      </c>
      <c r="S35" s="2"/>
      <c r="T35" s="6">
        <v>8362.2364230769399</v>
      </c>
      <c r="U35" s="2"/>
      <c r="V35" s="7">
        <f t="shared" si="18"/>
        <v>0.10833315744367068</v>
      </c>
      <c r="W35" s="2"/>
      <c r="X35" s="6">
        <f t="shared" si="19"/>
        <v>5322.6835769230602</v>
      </c>
      <c r="Y35" s="2"/>
      <c r="Z35" s="7">
        <f t="shared" si="20"/>
        <v>0.63651436142540252</v>
      </c>
    </row>
    <row r="36" spans="1:26" s="24" customFormat="1" hidden="1" outlineLevel="2" x14ac:dyDescent="0.25">
      <c r="A36" s="28"/>
      <c r="B36" s="11" t="str">
        <f>CONCATENATE("          ", "6119", " - ", "SICK LEAVE")</f>
        <v xml:space="preserve">          6119 - SICK LEAVE</v>
      </c>
      <c r="C36" s="11"/>
      <c r="D36" s="6">
        <v>1368.1</v>
      </c>
      <c r="E36" s="2"/>
      <c r="F36" s="7">
        <f t="shared" si="13"/>
        <v>2.1326049751845589E-2</v>
      </c>
      <c r="G36" s="2"/>
      <c r="H36" s="6">
        <v>501.61700000000002</v>
      </c>
      <c r="I36" s="2"/>
      <c r="J36" s="7">
        <f t="shared" si="14"/>
        <v>3.2003126196248566E-2</v>
      </c>
      <c r="K36" s="2"/>
      <c r="L36" s="6">
        <f t="shared" si="15"/>
        <v>866.48299999999995</v>
      </c>
      <c r="M36" s="2"/>
      <c r="N36" s="7">
        <f t="shared" si="16"/>
        <v>1.7273796541983224</v>
      </c>
      <c r="O36" s="11"/>
      <c r="P36" s="6">
        <v>7991.46</v>
      </c>
      <c r="Q36" s="2"/>
      <c r="R36" s="7">
        <f t="shared" si="17"/>
        <v>6.5480160063596748E-2</v>
      </c>
      <c r="S36" s="2"/>
      <c r="T36" s="6">
        <v>2838.6455000000001</v>
      </c>
      <c r="U36" s="2"/>
      <c r="V36" s="7">
        <f t="shared" si="18"/>
        <v>3.6774783002979664E-2</v>
      </c>
      <c r="W36" s="2"/>
      <c r="X36" s="6">
        <f t="shared" si="19"/>
        <v>5152.8145000000004</v>
      </c>
      <c r="Y36" s="2"/>
      <c r="Z36" s="7">
        <f t="shared" si="20"/>
        <v>1.8152370558423023</v>
      </c>
    </row>
    <row r="37" spans="1:26" s="24" customFormat="1" hidden="1" outlineLevel="2" x14ac:dyDescent="0.25">
      <c r="A37" s="28"/>
      <c r="B37" s="11" t="str">
        <f>CONCATENATE("          ", "6156", " - ", "EMPLOYEE MEALS")</f>
        <v xml:space="preserve">          6156 - EMPLOYEE MEALS</v>
      </c>
      <c r="C37" s="11"/>
      <c r="D37" s="6">
        <v>572.48</v>
      </c>
      <c r="E37" s="2"/>
      <c r="F37" s="7">
        <f t="shared" si="13"/>
        <v>8.9238629938868247E-3</v>
      </c>
      <c r="G37" s="2"/>
      <c r="H37" s="6">
        <v>350</v>
      </c>
      <c r="I37" s="2"/>
      <c r="J37" s="7">
        <f t="shared" si="14"/>
        <v>2.2329973204032155E-2</v>
      </c>
      <c r="K37" s="2"/>
      <c r="L37" s="6">
        <f t="shared" si="15"/>
        <v>222.48000000000002</v>
      </c>
      <c r="M37" s="2"/>
      <c r="N37" s="7">
        <f t="shared" si="16"/>
        <v>0.63565714285714292</v>
      </c>
      <c r="O37" s="11"/>
      <c r="P37" s="6">
        <v>2992.97</v>
      </c>
      <c r="Q37" s="2"/>
      <c r="R37" s="7">
        <f t="shared" si="17"/>
        <v>2.4523698381214841E-2</v>
      </c>
      <c r="S37" s="2"/>
      <c r="T37" s="6">
        <v>1750</v>
      </c>
      <c r="U37" s="2"/>
      <c r="V37" s="7">
        <f t="shared" si="18"/>
        <v>2.2671330483223215E-2</v>
      </c>
      <c r="W37" s="2"/>
      <c r="X37" s="6">
        <f t="shared" si="19"/>
        <v>1242.9699999999998</v>
      </c>
      <c r="Y37" s="2"/>
      <c r="Z37" s="7">
        <f t="shared" si="20"/>
        <v>0.71026857142857136</v>
      </c>
    </row>
    <row r="38" spans="1:26" s="29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25527.65</v>
      </c>
      <c r="E38" s="1"/>
      <c r="F38" s="5">
        <f t="shared" ref="F38:F48" si="21">IF(D$12=0,0,D38/D$12)</f>
        <v>0.39792700383575846</v>
      </c>
      <c r="G38" s="1"/>
      <c r="H38" s="1">
        <f>SUM(OSRRefH22_1x_0)</f>
        <v>20496.241692307685</v>
      </c>
      <c r="I38" s="1"/>
      <c r="J38" s="5">
        <f t="shared" ref="J38:J48" si="22">IF(H$12=0,0,H38/H$12)</f>
        <v>1.3076586507788495</v>
      </c>
      <c r="K38" s="1"/>
      <c r="L38" s="1">
        <f t="shared" ref="L38:L48" si="23">+D38-H38</f>
        <v>5031.4083076923162</v>
      </c>
      <c r="M38" s="1"/>
      <c r="N38" s="5">
        <f t="shared" ref="N38:N48" si="24">IF(H38=0,0,L38/H38)</f>
        <v>0.24547955587294923</v>
      </c>
      <c r="O38" s="14"/>
      <c r="P38" s="1">
        <f>SUM(OSRRefP22_1x_0)</f>
        <v>154473.17000000001</v>
      </c>
      <c r="Q38" s="1"/>
      <c r="R38" s="5">
        <f t="shared" ref="R38:R48" si="25">IF(P$12=0,0,P38/P$12)</f>
        <v>1.2657171401885503</v>
      </c>
      <c r="S38" s="1"/>
      <c r="T38" s="1">
        <f>SUM(OSRRefT22_1x_0)</f>
        <v>113979.27730769227</v>
      </c>
      <c r="U38" s="1"/>
      <c r="V38" s="5">
        <f t="shared" ref="V38:V48" si="26">IF(T$12=0,0,T38/T$12)</f>
        <v>1.4766067794752205</v>
      </c>
      <c r="W38" s="1"/>
      <c r="X38" s="1">
        <f t="shared" ref="X38:X48" si="27">+P38-T38</f>
        <v>40493.892692307738</v>
      </c>
      <c r="Y38" s="1"/>
      <c r="Z38" s="5">
        <f t="shared" ref="Z38:Z48" si="28">IF(T38=0,0,X38/T38)</f>
        <v>0.35527416604855827</v>
      </c>
    </row>
    <row r="39" spans="1:26" s="24" customFormat="1" hidden="1" outlineLevel="2" x14ac:dyDescent="0.25">
      <c r="A39" s="28"/>
      <c r="B39" s="11" t="str">
        <f>CONCATENATE("          ", "6001", " - ", "ADMINISTRATIVE SALARIES")</f>
        <v xml:space="preserve">          6001 - ADMINISTRATIVE SALARIES</v>
      </c>
      <c r="C39" s="11"/>
      <c r="D39" s="6">
        <v>9962.35</v>
      </c>
      <c r="E39" s="2"/>
      <c r="F39" s="7">
        <f t="shared" si="21"/>
        <v>0.15529389061128493</v>
      </c>
      <c r="G39" s="2"/>
      <c r="H39" s="6">
        <v>9962.3076923076896</v>
      </c>
      <c r="I39" s="2"/>
      <c r="J39" s="7">
        <f t="shared" si="22"/>
        <v>0.63559446805586894</v>
      </c>
      <c r="K39" s="2"/>
      <c r="L39" s="6">
        <f t="shared" si="23"/>
        <v>4.2307692310714629E-2</v>
      </c>
      <c r="M39" s="2"/>
      <c r="N39" s="7">
        <f t="shared" si="24"/>
        <v>4.2467763110129747E-6</v>
      </c>
      <c r="O39" s="11"/>
      <c r="P39" s="6">
        <v>53824.380000000005</v>
      </c>
      <c r="Q39" s="2"/>
      <c r="R39" s="7">
        <f t="shared" si="25"/>
        <v>0.44102442078466958</v>
      </c>
      <c r="S39" s="2"/>
      <c r="T39" s="6">
        <v>54792.692307692269</v>
      </c>
      <c r="U39" s="2"/>
      <c r="V39" s="7">
        <f t="shared" si="26"/>
        <v>0.70984184878471657</v>
      </c>
      <c r="W39" s="2"/>
      <c r="X39" s="6">
        <f t="shared" si="27"/>
        <v>-968.31230769226386</v>
      </c>
      <c r="Y39" s="2"/>
      <c r="Z39" s="7">
        <f t="shared" si="28"/>
        <v>-1.767228925811196E-2</v>
      </c>
    </row>
    <row r="40" spans="1:26" s="24" customFormat="1" hidden="1" outlineLevel="2" x14ac:dyDescent="0.25">
      <c r="A40" s="28"/>
      <c r="B40" s="11" t="str">
        <f>CONCATENATE("          ", "6002", " - ", "STAFF SALARIES")</f>
        <v xml:space="preserve">          6002 - STAFF SALARIES</v>
      </c>
      <c r="C40" s="11"/>
      <c r="D40" s="6">
        <v>12438.05</v>
      </c>
      <c r="E40" s="2"/>
      <c r="F40" s="7">
        <f t="shared" si="21"/>
        <v>0.193885295750269</v>
      </c>
      <c r="G40" s="2"/>
      <c r="H40" s="6">
        <v>4543.7219999999998</v>
      </c>
      <c r="I40" s="2"/>
      <c r="J40" s="7">
        <f t="shared" si="22"/>
        <v>0.28988911573306109</v>
      </c>
      <c r="K40" s="2"/>
      <c r="L40" s="6">
        <f t="shared" si="23"/>
        <v>7894.3279999999995</v>
      </c>
      <c r="M40" s="2"/>
      <c r="N40" s="7">
        <f t="shared" si="24"/>
        <v>1.7374143928699863</v>
      </c>
      <c r="O40" s="11"/>
      <c r="P40" s="6">
        <v>79977.900000000009</v>
      </c>
      <c r="Q40" s="2"/>
      <c r="R40" s="7">
        <f t="shared" si="25"/>
        <v>0.65532026607782989</v>
      </c>
      <c r="S40" s="2"/>
      <c r="T40" s="6">
        <v>24990.471000000001</v>
      </c>
      <c r="U40" s="2"/>
      <c r="V40" s="7">
        <f t="shared" si="26"/>
        <v>0.32375270112708904</v>
      </c>
      <c r="W40" s="2"/>
      <c r="X40" s="6">
        <f t="shared" si="27"/>
        <v>54987.429000000004</v>
      </c>
      <c r="Y40" s="2"/>
      <c r="Z40" s="7">
        <f t="shared" si="28"/>
        <v>2.2003358400087776</v>
      </c>
    </row>
    <row r="41" spans="1:26" s="24" customFormat="1" hidden="1" outlineLevel="2" x14ac:dyDescent="0.25">
      <c r="A41" s="28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8"/>
      <c r="B42" s="11" t="str">
        <f>CONCATENATE("          ", "6004", " - ", "STAFF HOURLY")</f>
        <v xml:space="preserve">          6004 - STAFF HOURLY</v>
      </c>
      <c r="C42" s="11"/>
      <c r="D42" s="6">
        <v>2751.03</v>
      </c>
      <c r="E42" s="2"/>
      <c r="F42" s="7">
        <f t="shared" si="21"/>
        <v>4.2883270703033244E-2</v>
      </c>
      <c r="G42" s="2"/>
      <c r="H42" s="6">
        <v>2595.6</v>
      </c>
      <c r="I42" s="2"/>
      <c r="J42" s="7">
        <f t="shared" si="22"/>
        <v>0.16559908128110246</v>
      </c>
      <c r="K42" s="2"/>
      <c r="L42" s="6">
        <f t="shared" si="23"/>
        <v>155.43000000000029</v>
      </c>
      <c r="M42" s="2"/>
      <c r="N42" s="7">
        <f t="shared" si="24"/>
        <v>5.9882108183079173E-2</v>
      </c>
      <c r="O42" s="11"/>
      <c r="P42" s="6">
        <v>18098.329999999998</v>
      </c>
      <c r="Q42" s="2"/>
      <c r="R42" s="7">
        <f t="shared" si="25"/>
        <v>0.14829349646795389</v>
      </c>
      <c r="S42" s="2"/>
      <c r="T42" s="6">
        <v>15944.4</v>
      </c>
      <c r="U42" s="2"/>
      <c r="V42" s="7">
        <f t="shared" si="26"/>
        <v>0.20656043528954526</v>
      </c>
      <c r="W42" s="2"/>
      <c r="X42" s="6">
        <f t="shared" si="27"/>
        <v>2153.9299999999985</v>
      </c>
      <c r="Y42" s="2"/>
      <c r="Z42" s="7">
        <f t="shared" si="28"/>
        <v>0.13509006296881654</v>
      </c>
    </row>
    <row r="43" spans="1:26" s="24" customFormat="1" hidden="1" outlineLevel="2" x14ac:dyDescent="0.25">
      <c r="A43" s="28"/>
      <c r="B43" s="11" t="str">
        <f>CONCATENATE("          ", "6005", " - ", "TEMPORARY WAGES-HOURLY")</f>
        <v xml:space="preserve">          6005 - TEMPORARY WAGES-HOURLY</v>
      </c>
      <c r="C43" s="11"/>
      <c r="D43" s="6">
        <v>376.22</v>
      </c>
      <c r="E43" s="2"/>
      <c r="F43" s="7">
        <f t="shared" si="21"/>
        <v>5.8645467711712215E-3</v>
      </c>
      <c r="G43" s="2"/>
      <c r="H43" s="6">
        <v>1452.672</v>
      </c>
      <c r="I43" s="2"/>
      <c r="J43" s="7">
        <f t="shared" si="22"/>
        <v>9.268036238356514E-2</v>
      </c>
      <c r="K43" s="2"/>
      <c r="L43" s="6">
        <f t="shared" si="23"/>
        <v>-1076.452</v>
      </c>
      <c r="M43" s="2"/>
      <c r="N43" s="7">
        <f t="shared" si="24"/>
        <v>-0.74101517754868274</v>
      </c>
      <c r="O43" s="11"/>
      <c r="P43" s="6">
        <v>2502.85</v>
      </c>
      <c r="Q43" s="2"/>
      <c r="R43" s="7">
        <f t="shared" si="25"/>
        <v>2.0507769370699862E-2</v>
      </c>
      <c r="S43" s="2"/>
      <c r="T43" s="6">
        <v>8428.5239999999994</v>
      </c>
      <c r="U43" s="2"/>
      <c r="V43" s="7">
        <f t="shared" si="26"/>
        <v>0.10919191605130198</v>
      </c>
      <c r="W43" s="2"/>
      <c r="X43" s="6">
        <f t="shared" si="27"/>
        <v>-5925.6739999999991</v>
      </c>
      <c r="Y43" s="2"/>
      <c r="Z43" s="7">
        <f t="shared" si="28"/>
        <v>-0.7030500239425076</v>
      </c>
    </row>
    <row r="44" spans="1:26" s="24" customFormat="1" hidden="1" outlineLevel="2" x14ac:dyDescent="0.25">
      <c r="A44" s="28"/>
      <c r="B44" s="11" t="str">
        <f>CONCATENATE("          ", "6006", " - ", "TEMPORARY PART TIME")</f>
        <v xml:space="preserve">          6006 - TEMPORARY PART TIME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8"/>
      <c r="B45" s="11" t="str">
        <f>CONCATENATE("          ", "6007", " - ", "STUDENT HOURLY")</f>
        <v xml:space="preserve">          6007 - STUDENT HOURLY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69.709999999999994</v>
      </c>
      <c r="Q45" s="2"/>
      <c r="R45" s="7">
        <f t="shared" si="25"/>
        <v>5.7118748739696233E-4</v>
      </c>
      <c r="S45" s="2"/>
      <c r="T45" s="6">
        <v>2446.34</v>
      </c>
      <c r="U45" s="2"/>
      <c r="V45" s="7">
        <f t="shared" si="26"/>
        <v>3.1692447208187591E-2</v>
      </c>
      <c r="W45" s="2"/>
      <c r="X45" s="6">
        <f t="shared" si="27"/>
        <v>-2376.63</v>
      </c>
      <c r="Y45" s="2"/>
      <c r="Z45" s="7">
        <f t="shared" si="28"/>
        <v>-0.97150436979324217</v>
      </c>
    </row>
    <row r="46" spans="1:26" s="24" customFormat="1" hidden="1" outlineLevel="2" x14ac:dyDescent="0.25">
      <c r="A46" s="28"/>
      <c r="B46" s="11" t="str">
        <f>CONCATENATE("          ", "6008", " - ", "STUDENT HOURLY-FICA EXEMPT")</f>
        <v xml:space="preserve">          6008 - STUDENT HOURLY-FICA EXEMPT</v>
      </c>
      <c r="C46" s="11"/>
      <c r="D46" s="6"/>
      <c r="E46" s="2"/>
      <c r="F46" s="7">
        <f t="shared" si="21"/>
        <v>0</v>
      </c>
      <c r="G46" s="2"/>
      <c r="H46" s="6">
        <v>1941.94</v>
      </c>
      <c r="I46" s="2"/>
      <c r="J46" s="7">
        <f t="shared" si="22"/>
        <v>0.12389562332525202</v>
      </c>
      <c r="K46" s="2"/>
      <c r="L46" s="6">
        <f t="shared" si="23"/>
        <v>-1941.94</v>
      </c>
      <c r="M46" s="2"/>
      <c r="N46" s="7">
        <f t="shared" si="24"/>
        <v>-1</v>
      </c>
      <c r="O46" s="11"/>
      <c r="P46" s="6"/>
      <c r="Q46" s="2"/>
      <c r="R46" s="7">
        <f t="shared" si="25"/>
        <v>0</v>
      </c>
      <c r="S46" s="2"/>
      <c r="T46" s="6">
        <v>7376.85</v>
      </c>
      <c r="U46" s="2"/>
      <c r="V46" s="7">
        <f t="shared" si="26"/>
        <v>9.5567431014380103E-2</v>
      </c>
      <c r="W46" s="2"/>
      <c r="X46" s="6">
        <f t="shared" si="27"/>
        <v>-7376.85</v>
      </c>
      <c r="Y46" s="2"/>
      <c r="Z46" s="7">
        <f t="shared" si="28"/>
        <v>-1</v>
      </c>
    </row>
    <row r="47" spans="1:26" s="24" customFormat="1" hidden="1" outlineLevel="2" x14ac:dyDescent="0.25">
      <c r="A47" s="28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8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9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15.9</v>
      </c>
      <c r="E49" s="1"/>
      <c r="F49" s="5">
        <f t="shared" ref="F49:F58" si="29">IF(D$12=0,0,D49/D$12)</f>
        <v>2.4785044298979966E-4</v>
      </c>
      <c r="G49" s="1"/>
      <c r="H49" s="1">
        <f>SUM(OSRRefH22_2x_0)</f>
        <v>653</v>
      </c>
      <c r="I49" s="1"/>
      <c r="J49" s="5">
        <f t="shared" ref="J49:J58" si="30">IF(H$12=0,0,H49/H$12)</f>
        <v>4.1661350006379994E-2</v>
      </c>
      <c r="K49" s="1"/>
      <c r="L49" s="1">
        <f t="shared" ref="L49:L58" si="31">+D49-H49</f>
        <v>-637.1</v>
      </c>
      <c r="M49" s="1"/>
      <c r="N49" s="5">
        <f t="shared" ref="N49:N58" si="32">IF(H49=0,0,L49/H49)</f>
        <v>-0.97565084226646248</v>
      </c>
      <c r="O49" s="14"/>
      <c r="P49" s="1">
        <f>SUM(OSRRefP22_2x_0)</f>
        <v>126.53</v>
      </c>
      <c r="Q49" s="1"/>
      <c r="R49" s="5">
        <f t="shared" ref="R49:R58" si="33">IF(P$12=0,0,P49/P$12)</f>
        <v>1.0367573200450102E-3</v>
      </c>
      <c r="S49" s="1"/>
      <c r="T49" s="1">
        <f>SUM(OSRRefT22_2x_0)</f>
        <v>3141</v>
      </c>
      <c r="U49" s="1"/>
      <c r="V49" s="5">
        <f t="shared" ref="V49:V58" si="34">IF(T$12=0,0,T49/T$12)</f>
        <v>4.0691799455888071E-2</v>
      </c>
      <c r="W49" s="1"/>
      <c r="X49" s="1">
        <f t="shared" ref="X49:X58" si="35">+P49-T49</f>
        <v>-3014.47</v>
      </c>
      <c r="Y49" s="1"/>
      <c r="Z49" s="5">
        <f t="shared" ref="Z49:Z58" si="36">IF(T49=0,0,X49/T49)</f>
        <v>-0.95971665074816936</v>
      </c>
    </row>
    <row r="50" spans="1:26" s="24" customFormat="1" hidden="1" outlineLevel="2" x14ac:dyDescent="0.25">
      <c r="A50" s="28"/>
      <c r="B50" s="11" t="str">
        <f>CONCATENATE("          ", "6362", " - ", "ADVERTISING EXPENSE")</f>
        <v xml:space="preserve">          6362 - ADVERTISING EXPENSE</v>
      </c>
      <c r="C50" s="11"/>
      <c r="D50" s="6">
        <v>15.9</v>
      </c>
      <c r="E50" s="2"/>
      <c r="F50" s="7">
        <f t="shared" si="29"/>
        <v>2.4785044298979966E-4</v>
      </c>
      <c r="G50" s="2"/>
      <c r="H50" s="6">
        <v>653</v>
      </c>
      <c r="I50" s="2"/>
      <c r="J50" s="7">
        <f t="shared" si="30"/>
        <v>4.1661350006379994E-2</v>
      </c>
      <c r="K50" s="2"/>
      <c r="L50" s="6">
        <f t="shared" si="31"/>
        <v>-637.1</v>
      </c>
      <c r="M50" s="2"/>
      <c r="N50" s="7">
        <f t="shared" si="32"/>
        <v>-0.97565084226646248</v>
      </c>
      <c r="O50" s="11"/>
      <c r="P50" s="6">
        <v>126.53</v>
      </c>
      <c r="Q50" s="2"/>
      <c r="R50" s="7">
        <f t="shared" si="33"/>
        <v>1.0367573200450102E-3</v>
      </c>
      <c r="S50" s="2"/>
      <c r="T50" s="6">
        <v>3141</v>
      </c>
      <c r="U50" s="2"/>
      <c r="V50" s="7">
        <f t="shared" si="34"/>
        <v>4.0691799455888071E-2</v>
      </c>
      <c r="W50" s="2"/>
      <c r="X50" s="6">
        <f t="shared" si="35"/>
        <v>-3014.47</v>
      </c>
      <c r="Y50" s="2"/>
      <c r="Z50" s="7">
        <f t="shared" si="36"/>
        <v>-0.95971665074816936</v>
      </c>
    </row>
    <row r="51" spans="1:26" s="29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-1331.23</v>
      </c>
      <c r="E51" s="1"/>
      <c r="F51" s="5">
        <f t="shared" si="29"/>
        <v>-2.0751317309516414E-2</v>
      </c>
      <c r="G51" s="1"/>
      <c r="H51" s="1">
        <f>SUM(OSRRefH22_3x_0)</f>
        <v>10</v>
      </c>
      <c r="I51" s="1"/>
      <c r="J51" s="5">
        <f t="shared" si="30"/>
        <v>6.3799923440091869E-4</v>
      </c>
      <c r="K51" s="1"/>
      <c r="L51" s="1">
        <f t="shared" si="31"/>
        <v>-1341.23</v>
      </c>
      <c r="M51" s="1"/>
      <c r="N51" s="5">
        <f t="shared" si="32"/>
        <v>-134.12299999999999</v>
      </c>
      <c r="O51" s="14"/>
      <c r="P51" s="1">
        <f>SUM(OSRRefP22_3x_0)</f>
        <v>7.05</v>
      </c>
      <c r="Q51" s="1"/>
      <c r="R51" s="5">
        <f t="shared" si="33"/>
        <v>5.7766056321167479E-5</v>
      </c>
      <c r="S51" s="1"/>
      <c r="T51" s="1">
        <f>SUM(OSRRefT22_3x_0)</f>
        <v>55</v>
      </c>
      <c r="U51" s="1"/>
      <c r="V51" s="5">
        <f t="shared" si="34"/>
        <v>7.1252752947272967E-4</v>
      </c>
      <c r="W51" s="1"/>
      <c r="X51" s="1">
        <f t="shared" si="35"/>
        <v>-47.95</v>
      </c>
      <c r="Y51" s="1"/>
      <c r="Z51" s="5">
        <f t="shared" si="36"/>
        <v>-0.87181818181818183</v>
      </c>
    </row>
    <row r="52" spans="1:26" s="24" customFormat="1" hidden="1" outlineLevel="2" x14ac:dyDescent="0.25">
      <c r="A52" s="28"/>
      <c r="B52" s="11" t="str">
        <f>CONCATENATE("          ", "6272", " - ", "CASH (OVER/SHORT)")</f>
        <v xml:space="preserve">          6272 - CASH (OVER/SHORT)</v>
      </c>
      <c r="C52" s="11"/>
      <c r="D52" s="6">
        <v>-1331.23</v>
      </c>
      <c r="E52" s="2"/>
      <c r="F52" s="7">
        <f t="shared" si="29"/>
        <v>-2.0751317309516414E-2</v>
      </c>
      <c r="G52" s="2"/>
      <c r="H52" s="6">
        <v>10</v>
      </c>
      <c r="I52" s="2"/>
      <c r="J52" s="7">
        <f t="shared" si="30"/>
        <v>6.3799923440091869E-4</v>
      </c>
      <c r="K52" s="2"/>
      <c r="L52" s="6">
        <f t="shared" si="31"/>
        <v>-1341.23</v>
      </c>
      <c r="M52" s="2"/>
      <c r="N52" s="7">
        <f t="shared" si="32"/>
        <v>-134.12299999999999</v>
      </c>
      <c r="O52" s="11"/>
      <c r="P52" s="6">
        <v>7.05</v>
      </c>
      <c r="Q52" s="2"/>
      <c r="R52" s="7">
        <f t="shared" si="33"/>
        <v>5.7766056321167479E-5</v>
      </c>
      <c r="S52" s="2"/>
      <c r="T52" s="6">
        <v>55</v>
      </c>
      <c r="U52" s="2"/>
      <c r="V52" s="7">
        <f t="shared" si="34"/>
        <v>7.1252752947272967E-4</v>
      </c>
      <c r="W52" s="2"/>
      <c r="X52" s="6">
        <f t="shared" si="35"/>
        <v>-47.95</v>
      </c>
      <c r="Y52" s="2"/>
      <c r="Z52" s="7">
        <f t="shared" si="36"/>
        <v>-0.87181818181818183</v>
      </c>
    </row>
    <row r="53" spans="1:26" s="29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747.39</v>
      </c>
      <c r="E53" s="1"/>
      <c r="F53" s="5">
        <f t="shared" si="29"/>
        <v>1.1650373747556375E-2</v>
      </c>
      <c r="G53" s="1"/>
      <c r="H53" s="1">
        <f>SUM(OSRRefH22_4x_0)</f>
        <v>2871</v>
      </c>
      <c r="I53" s="1"/>
      <c r="J53" s="5">
        <f t="shared" si="30"/>
        <v>0.18316958019650376</v>
      </c>
      <c r="K53" s="1"/>
      <c r="L53" s="1">
        <f t="shared" si="31"/>
        <v>-2123.61</v>
      </c>
      <c r="M53" s="1"/>
      <c r="N53" s="5">
        <f t="shared" si="32"/>
        <v>-0.73967607105538147</v>
      </c>
      <c r="O53" s="14"/>
      <c r="P53" s="1">
        <f>SUM(OSRRefP22_4x_0)</f>
        <v>2615.1999999999998</v>
      </c>
      <c r="Q53" s="1"/>
      <c r="R53" s="5">
        <f t="shared" si="33"/>
        <v>2.1428339076754208E-2</v>
      </c>
      <c r="S53" s="1"/>
      <c r="T53" s="1">
        <f>SUM(OSRRefT22_4x_0)</f>
        <v>14851</v>
      </c>
      <c r="U53" s="1"/>
      <c r="V53" s="5">
        <f t="shared" si="34"/>
        <v>0.1923953880036274</v>
      </c>
      <c r="W53" s="1"/>
      <c r="X53" s="1">
        <f t="shared" si="35"/>
        <v>-12235.8</v>
      </c>
      <c r="Y53" s="1"/>
      <c r="Z53" s="5">
        <f t="shared" si="36"/>
        <v>-0.8239041142010638</v>
      </c>
    </row>
    <row r="54" spans="1:26" s="24" customFormat="1" hidden="1" outlineLevel="2" x14ac:dyDescent="0.25">
      <c r="A54" s="28"/>
      <c r="B54" s="11" t="str">
        <f>CONCATENATE("          ", "6381", " - ", "BANK/CREDIT CARD FEES")</f>
        <v xml:space="preserve">          6381 - BANK/CREDIT CARD FEES</v>
      </c>
      <c r="C54" s="11"/>
      <c r="D54" s="6">
        <v>747.39</v>
      </c>
      <c r="E54" s="2"/>
      <c r="F54" s="7">
        <f t="shared" si="29"/>
        <v>1.1650373747556375E-2</v>
      </c>
      <c r="G54" s="2"/>
      <c r="H54" s="6">
        <v>2871</v>
      </c>
      <c r="I54" s="2"/>
      <c r="J54" s="7">
        <f t="shared" si="30"/>
        <v>0.18316958019650376</v>
      </c>
      <c r="K54" s="2"/>
      <c r="L54" s="6">
        <f t="shared" si="31"/>
        <v>-2123.61</v>
      </c>
      <c r="M54" s="2"/>
      <c r="N54" s="7">
        <f t="shared" si="32"/>
        <v>-0.73967607105538147</v>
      </c>
      <c r="O54" s="11"/>
      <c r="P54" s="6">
        <v>2615.1999999999998</v>
      </c>
      <c r="Q54" s="2"/>
      <c r="R54" s="7">
        <f t="shared" si="33"/>
        <v>2.1428339076754208E-2</v>
      </c>
      <c r="S54" s="2"/>
      <c r="T54" s="6">
        <v>14851</v>
      </c>
      <c r="U54" s="2"/>
      <c r="V54" s="7">
        <f t="shared" si="34"/>
        <v>0.1923953880036274</v>
      </c>
      <c r="W54" s="2"/>
      <c r="X54" s="6">
        <f t="shared" si="35"/>
        <v>-12235.8</v>
      </c>
      <c r="Y54" s="2"/>
      <c r="Z54" s="7">
        <f t="shared" si="36"/>
        <v>-0.8239041142010638</v>
      </c>
    </row>
    <row r="55" spans="1:26" s="29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36720.759999999995</v>
      </c>
      <c r="E55" s="1"/>
      <c r="F55" s="5">
        <f t="shared" si="29"/>
        <v>0.57240607754227135</v>
      </c>
      <c r="G55" s="1"/>
      <c r="H55" s="1">
        <f>SUM(OSRRefH22_5x_0)</f>
        <v>37717</v>
      </c>
      <c r="I55" s="1"/>
      <c r="J55" s="5">
        <f t="shared" si="30"/>
        <v>2.4063417123899451</v>
      </c>
      <c r="K55" s="1"/>
      <c r="L55" s="1">
        <f t="shared" si="31"/>
        <v>-996.24000000000524</v>
      </c>
      <c r="M55" s="1"/>
      <c r="N55" s="5">
        <f t="shared" si="32"/>
        <v>-2.6413553570008359E-2</v>
      </c>
      <c r="O55" s="14"/>
      <c r="P55" s="1">
        <f>SUM(OSRRefP22_5x_0)</f>
        <v>186427.32</v>
      </c>
      <c r="Q55" s="1"/>
      <c r="R55" s="5">
        <f t="shared" si="33"/>
        <v>1.5275419953084131</v>
      </c>
      <c r="S55" s="1"/>
      <c r="T55" s="1">
        <f>SUM(OSRRefT22_5x_0)</f>
        <v>191189</v>
      </c>
      <c r="U55" s="1"/>
      <c r="V55" s="5">
        <f t="shared" si="34"/>
        <v>2.4768622878611217</v>
      </c>
      <c r="W55" s="1"/>
      <c r="X55" s="1">
        <f t="shared" si="35"/>
        <v>-4761.679999999993</v>
      </c>
      <c r="Y55" s="1"/>
      <c r="Z55" s="5">
        <f t="shared" si="36"/>
        <v>-2.4905616954950301E-2</v>
      </c>
    </row>
    <row r="56" spans="1:26" s="24" customFormat="1" hidden="1" outlineLevel="2" x14ac:dyDescent="0.25">
      <c r="A56" s="28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29"/>
        <v>0.36762128577015785</v>
      </c>
      <c r="G56" s="2"/>
      <c r="H56" s="6"/>
      <c r="I56" s="2"/>
      <c r="J56" s="7">
        <f t="shared" si="30"/>
        <v>0</v>
      </c>
      <c r="K56" s="2"/>
      <c r="L56" s="6">
        <f t="shared" si="31"/>
        <v>23583.489999999998</v>
      </c>
      <c r="M56" s="2"/>
      <c r="N56" s="7">
        <f t="shared" si="32"/>
        <v>0</v>
      </c>
      <c r="O56" s="11"/>
      <c r="P56" s="6">
        <v>118701.64</v>
      </c>
      <c r="Q56" s="2"/>
      <c r="R56" s="7">
        <f t="shared" si="33"/>
        <v>0.97261356335531157</v>
      </c>
      <c r="S56" s="2"/>
      <c r="T56" s="6"/>
      <c r="U56" s="2"/>
      <c r="V56" s="7">
        <f t="shared" si="34"/>
        <v>0</v>
      </c>
      <c r="W56" s="2"/>
      <c r="X56" s="6">
        <f t="shared" si="35"/>
        <v>118701.64</v>
      </c>
      <c r="Y56" s="2"/>
      <c r="Z56" s="7">
        <f t="shared" si="36"/>
        <v>0</v>
      </c>
    </row>
    <row r="57" spans="1:26" s="24" customFormat="1" hidden="1" outlineLevel="2" x14ac:dyDescent="0.25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13137.27</v>
      </c>
      <c r="E57" s="2"/>
      <c r="F57" s="7">
        <f t="shared" si="29"/>
        <v>0.20478479177211353</v>
      </c>
      <c r="G57" s="2"/>
      <c r="H57" s="6">
        <v>37167</v>
      </c>
      <c r="I57" s="2"/>
      <c r="J57" s="7">
        <f t="shared" si="30"/>
        <v>2.3712517544978944</v>
      </c>
      <c r="K57" s="2"/>
      <c r="L57" s="6">
        <f t="shared" si="31"/>
        <v>-24029.73</v>
      </c>
      <c r="M57" s="2"/>
      <c r="N57" s="7">
        <f t="shared" si="32"/>
        <v>-0.64653402211639355</v>
      </c>
      <c r="O57" s="11"/>
      <c r="P57" s="6">
        <v>67725.679999999993</v>
      </c>
      <c r="Q57" s="2"/>
      <c r="R57" s="7">
        <f t="shared" si="33"/>
        <v>0.55492843195310149</v>
      </c>
      <c r="S57" s="2"/>
      <c r="T57" s="6">
        <v>188439</v>
      </c>
      <c r="U57" s="2"/>
      <c r="V57" s="7">
        <f t="shared" si="34"/>
        <v>2.4412359113874853</v>
      </c>
      <c r="W57" s="2"/>
      <c r="X57" s="6">
        <f t="shared" si="35"/>
        <v>-120713.32</v>
      </c>
      <c r="Y57" s="2"/>
      <c r="Z57" s="7">
        <f t="shared" si="36"/>
        <v>-0.6405962672270602</v>
      </c>
    </row>
    <row r="58" spans="1:26" s="24" customFormat="1" hidden="1" outlineLevel="2" x14ac:dyDescent="0.25">
      <c r="A58" s="28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29"/>
        <v>0</v>
      </c>
      <c r="G58" s="2"/>
      <c r="H58" s="6">
        <v>550</v>
      </c>
      <c r="I58" s="2"/>
      <c r="J58" s="7">
        <f t="shared" si="30"/>
        <v>3.5089957892050529E-2</v>
      </c>
      <c r="K58" s="2"/>
      <c r="L58" s="6">
        <f t="shared" si="31"/>
        <v>-550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2750</v>
      </c>
      <c r="U58" s="2"/>
      <c r="V58" s="7">
        <f t="shared" si="34"/>
        <v>3.5626376473636479E-2</v>
      </c>
      <c r="W58" s="2"/>
      <c r="X58" s="6">
        <f t="shared" si="35"/>
        <v>-2750</v>
      </c>
      <c r="Y58" s="2"/>
      <c r="Z58" s="7">
        <f t="shared" si="36"/>
        <v>-1</v>
      </c>
    </row>
    <row r="59" spans="1:26" s="29" customFormat="1" outlineLevel="1" collapsed="1" x14ac:dyDescent="0.2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77" si="37">IF(D$12=0,0,D59/D$12)</f>
        <v>0</v>
      </c>
      <c r="G59" s="1"/>
      <c r="H59" s="1">
        <f>SUM(OSRRefH22_6x_0)</f>
        <v>0</v>
      </c>
      <c r="I59" s="1"/>
      <c r="J59" s="5">
        <f t="shared" ref="J59:J77" si="38">IF(H$12=0,0,H59/H$12)</f>
        <v>0</v>
      </c>
      <c r="K59" s="1"/>
      <c r="L59" s="1">
        <f t="shared" ref="L59:L77" si="39">+D59-H59</f>
        <v>0</v>
      </c>
      <c r="M59" s="1"/>
      <c r="N59" s="5">
        <f t="shared" ref="N59:N77" si="40">IF(H59=0,0,L59/H59)</f>
        <v>0</v>
      </c>
      <c r="O59" s="14"/>
      <c r="P59" s="1">
        <f>SUM(OSRRefP22_6x_0)</f>
        <v>0</v>
      </c>
      <c r="Q59" s="1"/>
      <c r="R59" s="5">
        <f t="shared" ref="R59:R77" si="41">IF(P$12=0,0,P59/P$12)</f>
        <v>0</v>
      </c>
      <c r="S59" s="1"/>
      <c r="T59" s="1">
        <f>SUM(OSRRefT22_6x_0)</f>
        <v>0</v>
      </c>
      <c r="U59" s="1"/>
      <c r="V59" s="5">
        <f t="shared" ref="V59:V77" si="42">IF(T$12=0,0,T59/T$12)</f>
        <v>0</v>
      </c>
      <c r="W59" s="1"/>
      <c r="X59" s="1">
        <f t="shared" ref="X59:X77" si="43">+P59-T59</f>
        <v>0</v>
      </c>
      <c r="Y59" s="1"/>
      <c r="Z59" s="5">
        <f t="shared" ref="Z59:Z77" si="44">IF(T59=0,0,X59/T59)</f>
        <v>0</v>
      </c>
    </row>
    <row r="60" spans="1:26" s="24" customFormat="1" hidden="1" outlineLevel="2" x14ac:dyDescent="0.25">
      <c r="A60" s="28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>
        <v>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0</v>
      </c>
      <c r="U60" s="2"/>
      <c r="V60" s="7">
        <f t="shared" si="42"/>
        <v>0</v>
      </c>
      <c r="W60" s="2"/>
      <c r="X60" s="6">
        <f t="shared" si="43"/>
        <v>0</v>
      </c>
      <c r="Y60" s="2"/>
      <c r="Z60" s="7">
        <f t="shared" si="44"/>
        <v>0</v>
      </c>
    </row>
    <row r="61" spans="1:26" s="29" customFormat="1" outlineLevel="1" collapsed="1" x14ac:dyDescent="0.25">
      <c r="A61" s="27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775.02</v>
      </c>
      <c r="E61" s="1"/>
      <c r="F61" s="5">
        <f t="shared" si="37"/>
        <v>1.2081072347544309E-2</v>
      </c>
      <c r="G61" s="1"/>
      <c r="H61" s="1">
        <f>SUM(OSRRefH22_7x_0)</f>
        <v>309.33333333333297</v>
      </c>
      <c r="I61" s="1"/>
      <c r="J61" s="5">
        <f t="shared" si="38"/>
        <v>1.9735442984135064E-2</v>
      </c>
      <c r="K61" s="1"/>
      <c r="L61" s="1">
        <f t="shared" si="39"/>
        <v>465.68666666666701</v>
      </c>
      <c r="M61" s="1"/>
      <c r="N61" s="5">
        <f t="shared" si="40"/>
        <v>1.5054525862068995</v>
      </c>
      <c r="O61" s="14"/>
      <c r="P61" s="1">
        <f>SUM(OSRRefP22_7x_0)</f>
        <v>4075.69</v>
      </c>
      <c r="Q61" s="1"/>
      <c r="R61" s="5">
        <f t="shared" si="41"/>
        <v>3.3395253629449513E-2</v>
      </c>
      <c r="S61" s="1"/>
      <c r="T61" s="1">
        <f>SUM(OSRRefT22_7x_0)</f>
        <v>1615.6666666666649</v>
      </c>
      <c r="U61" s="1"/>
      <c r="V61" s="5">
        <f t="shared" si="42"/>
        <v>2.0931035971844345E-2</v>
      </c>
      <c r="W61" s="1"/>
      <c r="X61" s="1">
        <f t="shared" si="43"/>
        <v>2460.0233333333354</v>
      </c>
      <c r="Y61" s="1"/>
      <c r="Z61" s="5">
        <f t="shared" si="44"/>
        <v>1.5226057355065017</v>
      </c>
    </row>
    <row r="62" spans="1:26" s="24" customFormat="1" hidden="1" outlineLevel="2" x14ac:dyDescent="0.25">
      <c r="A62" s="28"/>
      <c r="B62" s="11" t="str">
        <f>CONCATENATE("          ", "6351", " - ", "EQUIPMENT RENTAL")</f>
        <v xml:space="preserve">          6351 - EQUIPMENT RENTAL</v>
      </c>
      <c r="C62" s="11"/>
      <c r="D62" s="6">
        <v>775.02</v>
      </c>
      <c r="E62" s="2"/>
      <c r="F62" s="7">
        <f t="shared" si="37"/>
        <v>1.2081072347544309E-2</v>
      </c>
      <c r="G62" s="2"/>
      <c r="H62" s="6">
        <v>309.33333333333297</v>
      </c>
      <c r="I62" s="2"/>
      <c r="J62" s="7">
        <f t="shared" si="38"/>
        <v>1.9735442984135064E-2</v>
      </c>
      <c r="K62" s="2"/>
      <c r="L62" s="6">
        <f t="shared" si="39"/>
        <v>465.68666666666701</v>
      </c>
      <c r="M62" s="2"/>
      <c r="N62" s="7">
        <f t="shared" si="40"/>
        <v>1.5054525862068995</v>
      </c>
      <c r="O62" s="11"/>
      <c r="P62" s="6">
        <v>4075.69</v>
      </c>
      <c r="Q62" s="2"/>
      <c r="R62" s="7">
        <f t="shared" si="41"/>
        <v>3.3395253629449513E-2</v>
      </c>
      <c r="S62" s="2"/>
      <c r="T62" s="6">
        <v>1615.6666666666649</v>
      </c>
      <c r="U62" s="2"/>
      <c r="V62" s="7">
        <f t="shared" si="42"/>
        <v>2.0931035971844345E-2</v>
      </c>
      <c r="W62" s="2"/>
      <c r="X62" s="6">
        <f t="shared" si="43"/>
        <v>2460.0233333333354</v>
      </c>
      <c r="Y62" s="2"/>
      <c r="Z62" s="7">
        <f t="shared" si="44"/>
        <v>1.5226057355065017</v>
      </c>
    </row>
    <row r="63" spans="1:26" s="29" customFormat="1" outlineLevel="1" collapsed="1" x14ac:dyDescent="0.25">
      <c r="A63" s="27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SUM(OSRRefP22_8x_0)</f>
        <v>-5.41</v>
      </c>
      <c r="Q63" s="1"/>
      <c r="R63" s="5">
        <f t="shared" si="41"/>
        <v>-4.4328278680498735E-5</v>
      </c>
      <c r="S63" s="1"/>
      <c r="T63" s="1">
        <f>SUM(OSRRefT22_8x_0)</f>
        <v>0</v>
      </c>
      <c r="U63" s="1"/>
      <c r="V63" s="5">
        <f t="shared" si="42"/>
        <v>0</v>
      </c>
      <c r="W63" s="1"/>
      <c r="X63" s="1">
        <f t="shared" si="43"/>
        <v>-5.41</v>
      </c>
      <c r="Y63" s="1"/>
      <c r="Z63" s="5">
        <f t="shared" si="44"/>
        <v>0</v>
      </c>
    </row>
    <row r="64" spans="1:26" s="24" customFormat="1" hidden="1" outlineLevel="2" x14ac:dyDescent="0.25">
      <c r="A64" s="28"/>
      <c r="B64" s="11" t="str">
        <f>CONCATENATE("          ", "6307", " - ", "POSTAGE")</f>
        <v xml:space="preserve">          6307 - POSTAGE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-5.41</v>
      </c>
      <c r="Q64" s="2"/>
      <c r="R64" s="7">
        <f t="shared" si="41"/>
        <v>-4.4328278680498735E-5</v>
      </c>
      <c r="S64" s="2"/>
      <c r="T64" s="6"/>
      <c r="U64" s="2"/>
      <c r="V64" s="7">
        <f t="shared" si="42"/>
        <v>0</v>
      </c>
      <c r="W64" s="2"/>
      <c r="X64" s="6">
        <f t="shared" si="43"/>
        <v>-5.41</v>
      </c>
      <c r="Y64" s="2"/>
      <c r="Z64" s="7">
        <f t="shared" si="44"/>
        <v>0</v>
      </c>
    </row>
    <row r="65" spans="1:26" s="29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455</v>
      </c>
      <c r="E65" s="1"/>
      <c r="F65" s="5">
        <f t="shared" si="37"/>
        <v>7.0925755698338895E-3</v>
      </c>
      <c r="G65" s="1"/>
      <c r="H65" s="1">
        <f>SUM(OSRRefH22_9x_0)</f>
        <v>0</v>
      </c>
      <c r="I65" s="1"/>
      <c r="J65" s="5">
        <f t="shared" si="38"/>
        <v>0</v>
      </c>
      <c r="K65" s="1"/>
      <c r="L65" s="1">
        <f t="shared" si="39"/>
        <v>455</v>
      </c>
      <c r="M65" s="1"/>
      <c r="N65" s="5">
        <f t="shared" si="40"/>
        <v>0</v>
      </c>
      <c r="O65" s="14"/>
      <c r="P65" s="1">
        <f>SUM(OSRRefP22_9x_0)</f>
        <v>4221.45</v>
      </c>
      <c r="Q65" s="1"/>
      <c r="R65" s="5">
        <f t="shared" si="41"/>
        <v>3.4589577086098222E-2</v>
      </c>
      <c r="S65" s="1"/>
      <c r="T65" s="1">
        <f>SUM(OSRRefT22_9x_0)</f>
        <v>4355</v>
      </c>
      <c r="U65" s="1"/>
      <c r="V65" s="5">
        <f t="shared" si="42"/>
        <v>5.6419225288249775E-2</v>
      </c>
      <c r="W65" s="1"/>
      <c r="X65" s="1">
        <f t="shared" si="43"/>
        <v>-133.55000000000018</v>
      </c>
      <c r="Y65" s="1"/>
      <c r="Z65" s="5">
        <f t="shared" si="44"/>
        <v>-3.0665901262916229E-2</v>
      </c>
    </row>
    <row r="66" spans="1:26" s="24" customFormat="1" hidden="1" outlineLevel="2" x14ac:dyDescent="0.25">
      <c r="A66" s="28"/>
      <c r="B66" s="11" t="str">
        <f>CONCATENATE("          ", "6279", " - ", "GENERAL EXPENSE")</f>
        <v xml:space="preserve">          6279 - GENERAL EXPENSE</v>
      </c>
      <c r="C66" s="11"/>
      <c r="D66" s="6">
        <v>455</v>
      </c>
      <c r="E66" s="2"/>
      <c r="F66" s="7">
        <f t="shared" si="37"/>
        <v>7.0925755698338895E-3</v>
      </c>
      <c r="G66" s="2"/>
      <c r="H66" s="6">
        <v>0</v>
      </c>
      <c r="I66" s="2"/>
      <c r="J66" s="7">
        <f t="shared" si="38"/>
        <v>0</v>
      </c>
      <c r="K66" s="2"/>
      <c r="L66" s="6">
        <f t="shared" si="39"/>
        <v>455</v>
      </c>
      <c r="M66" s="2"/>
      <c r="N66" s="7">
        <f t="shared" si="40"/>
        <v>0</v>
      </c>
      <c r="O66" s="11"/>
      <c r="P66" s="6">
        <v>4221.45</v>
      </c>
      <c r="Q66" s="2"/>
      <c r="R66" s="7">
        <f t="shared" si="41"/>
        <v>3.4589577086098222E-2</v>
      </c>
      <c r="S66" s="2"/>
      <c r="T66" s="6">
        <v>4355</v>
      </c>
      <c r="U66" s="2"/>
      <c r="V66" s="7">
        <f t="shared" si="42"/>
        <v>5.6419225288249775E-2</v>
      </c>
      <c r="W66" s="2"/>
      <c r="X66" s="6">
        <f t="shared" si="43"/>
        <v>-133.55000000000018</v>
      </c>
      <c r="Y66" s="2"/>
      <c r="Z66" s="7">
        <f t="shared" si="44"/>
        <v>-3.0665901262916229E-2</v>
      </c>
    </row>
    <row r="67" spans="1:26" s="29" customFormat="1" outlineLevel="1" collapsed="1" x14ac:dyDescent="0.25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4240.13</v>
      </c>
      <c r="E67" s="1"/>
      <c r="F67" s="5">
        <f t="shared" si="37"/>
        <v>6.6095477914109385E-2</v>
      </c>
      <c r="G67" s="1"/>
      <c r="H67" s="1">
        <f>SUM(OSRRefH22_10x_0)</f>
        <v>4565</v>
      </c>
      <c r="I67" s="1"/>
      <c r="J67" s="5">
        <f t="shared" si="38"/>
        <v>0.29124665050401938</v>
      </c>
      <c r="K67" s="1"/>
      <c r="L67" s="1">
        <f t="shared" si="39"/>
        <v>-324.86999999999989</v>
      </c>
      <c r="M67" s="1"/>
      <c r="N67" s="5">
        <f t="shared" si="40"/>
        <v>-7.1165388828039411E-2</v>
      </c>
      <c r="O67" s="14"/>
      <c r="P67" s="1">
        <f>SUM(OSRRefP22_10x_0)</f>
        <v>27312.649999999998</v>
      </c>
      <c r="Q67" s="1"/>
      <c r="R67" s="5">
        <f t="shared" si="41"/>
        <v>0.22379348626671416</v>
      </c>
      <c r="S67" s="1"/>
      <c r="T67" s="1">
        <f>SUM(OSRRefT22_10x_0)</f>
        <v>22825</v>
      </c>
      <c r="U67" s="1"/>
      <c r="V67" s="5">
        <f t="shared" si="42"/>
        <v>0.29569892473118281</v>
      </c>
      <c r="W67" s="1"/>
      <c r="X67" s="1">
        <f t="shared" si="43"/>
        <v>4487.6499999999978</v>
      </c>
      <c r="Y67" s="1"/>
      <c r="Z67" s="5">
        <f t="shared" si="44"/>
        <v>0.19661117196056946</v>
      </c>
    </row>
    <row r="68" spans="1:26" s="24" customFormat="1" hidden="1" outlineLevel="2" x14ac:dyDescent="0.25">
      <c r="A68" s="28"/>
      <c r="B68" s="11" t="str">
        <f>CONCATENATE("          ", "6314", " - ", "LIABILITY INSURANCE")</f>
        <v xml:space="preserve">          6314 - LIABILITY INSURANCE</v>
      </c>
      <c r="C68" s="11"/>
      <c r="D68" s="6">
        <v>4240.13</v>
      </c>
      <c r="E68" s="2"/>
      <c r="F68" s="7">
        <f t="shared" si="37"/>
        <v>6.6095477914109385E-2</v>
      </c>
      <c r="G68" s="2"/>
      <c r="H68" s="6">
        <v>4565</v>
      </c>
      <c r="I68" s="2"/>
      <c r="J68" s="7">
        <f t="shared" si="38"/>
        <v>0.29124665050401938</v>
      </c>
      <c r="K68" s="2"/>
      <c r="L68" s="6">
        <f t="shared" si="39"/>
        <v>-324.86999999999989</v>
      </c>
      <c r="M68" s="2"/>
      <c r="N68" s="7">
        <f t="shared" si="40"/>
        <v>-7.1165388828039411E-2</v>
      </c>
      <c r="O68" s="11"/>
      <c r="P68" s="6">
        <v>27312.649999999998</v>
      </c>
      <c r="Q68" s="2"/>
      <c r="R68" s="7">
        <f t="shared" si="41"/>
        <v>0.22379348626671416</v>
      </c>
      <c r="S68" s="2"/>
      <c r="T68" s="6">
        <v>22825</v>
      </c>
      <c r="U68" s="2"/>
      <c r="V68" s="7">
        <f t="shared" si="42"/>
        <v>0.29569892473118281</v>
      </c>
      <c r="W68" s="2"/>
      <c r="X68" s="6">
        <f t="shared" si="43"/>
        <v>4487.6499999999978</v>
      </c>
      <c r="Y68" s="2"/>
      <c r="Z68" s="7">
        <f t="shared" si="44"/>
        <v>0.19661117196056946</v>
      </c>
    </row>
    <row r="69" spans="1:26" s="29" customFormat="1" outlineLevel="1" collapsed="1" x14ac:dyDescent="0.25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7510</v>
      </c>
      <c r="E69" s="1"/>
      <c r="F69" s="5">
        <f t="shared" si="37"/>
        <v>0.11706646709769782</v>
      </c>
      <c r="G69" s="1"/>
      <c r="H69" s="1">
        <f>SUM(OSRRefH22_11x_0)</f>
        <v>7510</v>
      </c>
      <c r="I69" s="1"/>
      <c r="J69" s="5">
        <f t="shared" si="38"/>
        <v>0.47913742503508994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SUM(OSRRefP22_11x_0)</f>
        <v>37063.15</v>
      </c>
      <c r="Q69" s="1"/>
      <c r="R69" s="5">
        <f t="shared" si="41"/>
        <v>0.30368680997728775</v>
      </c>
      <c r="S69" s="1"/>
      <c r="T69" s="1">
        <f>SUM(OSRRefT22_11x_0)</f>
        <v>37550</v>
      </c>
      <c r="U69" s="1"/>
      <c r="V69" s="5">
        <f t="shared" si="42"/>
        <v>0.48646197694001814</v>
      </c>
      <c r="W69" s="1"/>
      <c r="X69" s="1">
        <f t="shared" si="43"/>
        <v>-486.84999999999854</v>
      </c>
      <c r="Y69" s="1"/>
      <c r="Z69" s="5">
        <f t="shared" si="44"/>
        <v>-1.296537949400795E-2</v>
      </c>
    </row>
    <row r="70" spans="1:26" s="24" customFormat="1" hidden="1" outlineLevel="2" x14ac:dyDescent="0.25">
      <c r="A70" s="28"/>
      <c r="B70" s="11" t="str">
        <f>CONCATENATE("          ", "6401", " - ", "INTEREST EXPENSE")</f>
        <v xml:space="preserve">          6401 - INTEREST EXPENSE</v>
      </c>
      <c r="C70" s="11"/>
      <c r="D70" s="6">
        <v>7510</v>
      </c>
      <c r="E70" s="2"/>
      <c r="F70" s="7">
        <f t="shared" si="37"/>
        <v>0.11706646709769782</v>
      </c>
      <c r="G70" s="2"/>
      <c r="H70" s="6">
        <v>7510</v>
      </c>
      <c r="I70" s="2"/>
      <c r="J70" s="7">
        <f t="shared" si="38"/>
        <v>0.47913742503508994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37063.15</v>
      </c>
      <c r="Q70" s="2"/>
      <c r="R70" s="7">
        <f t="shared" si="41"/>
        <v>0.30368680997728775</v>
      </c>
      <c r="S70" s="2"/>
      <c r="T70" s="6">
        <v>37550</v>
      </c>
      <c r="U70" s="2"/>
      <c r="V70" s="7">
        <f t="shared" si="42"/>
        <v>0.48646197694001814</v>
      </c>
      <c r="W70" s="2"/>
      <c r="X70" s="6">
        <f t="shared" si="43"/>
        <v>-486.84999999999854</v>
      </c>
      <c r="Y70" s="2"/>
      <c r="Z70" s="7">
        <f t="shared" si="44"/>
        <v>-1.296537949400795E-2</v>
      </c>
    </row>
    <row r="71" spans="1:26" s="29" customFormat="1" outlineLevel="1" collapsed="1" x14ac:dyDescent="0.2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0</v>
      </c>
      <c r="E71" s="1"/>
      <c r="F71" s="5">
        <f t="shared" si="37"/>
        <v>0</v>
      </c>
      <c r="G71" s="1"/>
      <c r="H71" s="1">
        <f>SUM(OSRRefH22_12x_0)</f>
        <v>1943</v>
      </c>
      <c r="I71" s="1"/>
      <c r="J71" s="5">
        <f t="shared" si="38"/>
        <v>0.1239632512440985</v>
      </c>
      <c r="K71" s="1"/>
      <c r="L71" s="1">
        <f t="shared" si="39"/>
        <v>-1943</v>
      </c>
      <c r="M71" s="1"/>
      <c r="N71" s="5">
        <f t="shared" si="40"/>
        <v>-1</v>
      </c>
      <c r="O71" s="14"/>
      <c r="P71" s="1">
        <f>SUM(OSRRefP22_12x_0)</f>
        <v>5550</v>
      </c>
      <c r="Q71" s="1"/>
      <c r="R71" s="5">
        <f t="shared" si="41"/>
        <v>4.5475406040068014E-2</v>
      </c>
      <c r="S71" s="1"/>
      <c r="T71" s="1">
        <f>SUM(OSRRefT22_12x_0)</f>
        <v>9715</v>
      </c>
      <c r="U71" s="1"/>
      <c r="V71" s="5">
        <f t="shared" si="42"/>
        <v>0.12585827179686487</v>
      </c>
      <c r="W71" s="1"/>
      <c r="X71" s="1">
        <f t="shared" si="43"/>
        <v>-4165</v>
      </c>
      <c r="Y71" s="1"/>
      <c r="Z71" s="5">
        <f t="shared" si="44"/>
        <v>-0.4287184765826042</v>
      </c>
    </row>
    <row r="72" spans="1:26" s="24" customFormat="1" hidden="1" outlineLevel="2" x14ac:dyDescent="0.25">
      <c r="A72" s="28"/>
      <c r="B72" s="11" t="str">
        <f>CONCATENATE("          ", "6273", " - ", "RENT")</f>
        <v xml:space="preserve">          6273 - RENT</v>
      </c>
      <c r="C72" s="11"/>
      <c r="D72" s="6"/>
      <c r="E72" s="2"/>
      <c r="F72" s="7">
        <f t="shared" si="37"/>
        <v>0</v>
      </c>
      <c r="G72" s="2"/>
      <c r="H72" s="6">
        <v>1943</v>
      </c>
      <c r="I72" s="2"/>
      <c r="J72" s="7">
        <f t="shared" si="38"/>
        <v>0.1239632512440985</v>
      </c>
      <c r="K72" s="2"/>
      <c r="L72" s="6">
        <f t="shared" si="39"/>
        <v>-1943</v>
      </c>
      <c r="M72" s="2"/>
      <c r="N72" s="7">
        <f t="shared" si="40"/>
        <v>-1</v>
      </c>
      <c r="O72" s="11"/>
      <c r="P72" s="6">
        <v>5550</v>
      </c>
      <c r="Q72" s="2"/>
      <c r="R72" s="7">
        <f t="shared" si="41"/>
        <v>4.5475406040068014E-2</v>
      </c>
      <c r="S72" s="2"/>
      <c r="T72" s="6">
        <v>9715</v>
      </c>
      <c r="U72" s="2"/>
      <c r="V72" s="7">
        <f t="shared" si="42"/>
        <v>0.12585827179686487</v>
      </c>
      <c r="W72" s="2"/>
      <c r="X72" s="6">
        <f t="shared" si="43"/>
        <v>-4165</v>
      </c>
      <c r="Y72" s="2"/>
      <c r="Z72" s="7">
        <f t="shared" si="44"/>
        <v>-0.4287184765826042</v>
      </c>
    </row>
    <row r="73" spans="1:26" s="29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3165.13</v>
      </c>
      <c r="E73" s="1"/>
      <c r="F73" s="5">
        <f t="shared" si="37"/>
        <v>4.9338293875490852E-2</v>
      </c>
      <c r="G73" s="1"/>
      <c r="H73" s="1">
        <f>SUM(OSRRefH22_13x_0)</f>
        <v>3955</v>
      </c>
      <c r="I73" s="1"/>
      <c r="J73" s="5">
        <f t="shared" si="38"/>
        <v>0.25232869720556333</v>
      </c>
      <c r="K73" s="1"/>
      <c r="L73" s="1">
        <f t="shared" si="39"/>
        <v>-789.86999999999989</v>
      </c>
      <c r="M73" s="1"/>
      <c r="N73" s="5">
        <f t="shared" si="40"/>
        <v>-0.19971428571428568</v>
      </c>
      <c r="O73" s="14"/>
      <c r="P73" s="1">
        <f>SUM(OSRRefP22_13x_0)</f>
        <v>18172.260000000002</v>
      </c>
      <c r="Q73" s="1"/>
      <c r="R73" s="5">
        <f t="shared" si="41"/>
        <v>0.14889926165147505</v>
      </c>
      <c r="S73" s="1"/>
      <c r="T73" s="1">
        <f>SUM(OSRRefT22_13x_0)</f>
        <v>13117</v>
      </c>
      <c r="U73" s="1"/>
      <c r="V73" s="5">
        <f t="shared" si="42"/>
        <v>0.16993133825625081</v>
      </c>
      <c r="W73" s="1"/>
      <c r="X73" s="1">
        <f t="shared" si="43"/>
        <v>5055.260000000002</v>
      </c>
      <c r="Y73" s="1"/>
      <c r="Z73" s="5">
        <f t="shared" si="44"/>
        <v>0.38539757566516747</v>
      </c>
    </row>
    <row r="74" spans="1:26" s="24" customFormat="1" hidden="1" outlineLevel="2" x14ac:dyDescent="0.25">
      <c r="A74" s="28"/>
      <c r="B74" s="11" t="str">
        <f>CONCATENATE("          ", "6371", " - ", "COMPUTER SOFTWARE MAINTENANCE")</f>
        <v xml:space="preserve">          6371 - COMPUTER SOFTWARE MAINTENANCE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/>
      <c r="Q74" s="2"/>
      <c r="R74" s="7">
        <f t="shared" si="41"/>
        <v>0</v>
      </c>
      <c r="S74" s="2"/>
      <c r="T74" s="6">
        <v>0</v>
      </c>
      <c r="U74" s="2"/>
      <c r="V74" s="7">
        <f t="shared" si="42"/>
        <v>0</v>
      </c>
      <c r="W74" s="2"/>
      <c r="X74" s="6">
        <f t="shared" si="43"/>
        <v>0</v>
      </c>
      <c r="Y74" s="2"/>
      <c r="Z74" s="7">
        <f t="shared" si="44"/>
        <v>0</v>
      </c>
    </row>
    <row r="75" spans="1:26" s="24" customFormat="1" hidden="1" outlineLevel="2" x14ac:dyDescent="0.25">
      <c r="A75" s="28"/>
      <c r="B75" s="11" t="str">
        <f>CONCATENATE("          ", "6372", " - ", "COMPUTER HARDWARE MAINTENANCE")</f>
        <v xml:space="preserve">          6372 - COMPUTER HARDWARE MAINTENANCE</v>
      </c>
      <c r="C75" s="11"/>
      <c r="D75" s="6"/>
      <c r="E75" s="2"/>
      <c r="F75" s="7">
        <f t="shared" si="37"/>
        <v>0</v>
      </c>
      <c r="G75" s="2"/>
      <c r="H75" s="6"/>
      <c r="I75" s="2"/>
      <c r="J75" s="7">
        <f t="shared" si="38"/>
        <v>0</v>
      </c>
      <c r="K75" s="2"/>
      <c r="L75" s="6">
        <f t="shared" si="39"/>
        <v>0</v>
      </c>
      <c r="M75" s="2"/>
      <c r="N75" s="7">
        <f t="shared" si="40"/>
        <v>0</v>
      </c>
      <c r="O75" s="11"/>
      <c r="P75" s="6"/>
      <c r="Q75" s="2"/>
      <c r="R75" s="7">
        <f t="shared" si="41"/>
        <v>0</v>
      </c>
      <c r="S75" s="2"/>
      <c r="T75" s="6">
        <v>0</v>
      </c>
      <c r="U75" s="2"/>
      <c r="V75" s="7">
        <f t="shared" si="42"/>
        <v>0</v>
      </c>
      <c r="W75" s="2"/>
      <c r="X75" s="6">
        <f t="shared" si="43"/>
        <v>0</v>
      </c>
      <c r="Y75" s="2"/>
      <c r="Z75" s="7">
        <f t="shared" si="44"/>
        <v>0</v>
      </c>
    </row>
    <row r="76" spans="1:26" s="24" customFormat="1" hidden="1" outlineLevel="2" x14ac:dyDescent="0.25">
      <c r="A76" s="28"/>
      <c r="B76" s="11" t="str">
        <f>CONCATENATE("          ", "6373", " - ", "MAINTENANCE CONTRACTS")</f>
        <v xml:space="preserve">          6373 - MAINTENANCE CONTRACTS</v>
      </c>
      <c r="C76" s="11"/>
      <c r="D76" s="6">
        <v>900.01</v>
      </c>
      <c r="E76" s="2"/>
      <c r="F76" s="7">
        <f t="shared" si="37"/>
        <v>1.4029426238694942E-2</v>
      </c>
      <c r="G76" s="2"/>
      <c r="H76" s="6">
        <v>1805</v>
      </c>
      <c r="I76" s="2"/>
      <c r="J76" s="7">
        <f t="shared" si="38"/>
        <v>0.11515886180936583</v>
      </c>
      <c r="K76" s="2"/>
      <c r="L76" s="6">
        <f t="shared" si="39"/>
        <v>-904.99</v>
      </c>
      <c r="M76" s="2"/>
      <c r="N76" s="7">
        <f t="shared" si="40"/>
        <v>-0.5013795013850415</v>
      </c>
      <c r="O76" s="11"/>
      <c r="P76" s="6">
        <v>9777.19</v>
      </c>
      <c r="Q76" s="2"/>
      <c r="R76" s="7">
        <f t="shared" si="41"/>
        <v>8.0112015347908586E-2</v>
      </c>
      <c r="S76" s="2"/>
      <c r="T76" s="6">
        <v>1908</v>
      </c>
      <c r="U76" s="2"/>
      <c r="V76" s="7">
        <f t="shared" si="42"/>
        <v>2.4718227749708513E-2</v>
      </c>
      <c r="W76" s="2"/>
      <c r="X76" s="6">
        <f t="shared" si="43"/>
        <v>7869.1900000000005</v>
      </c>
      <c r="Y76" s="2"/>
      <c r="Z76" s="7">
        <f t="shared" si="44"/>
        <v>4.124313417190776</v>
      </c>
    </row>
    <row r="77" spans="1:26" s="24" customFormat="1" hidden="1" outlineLevel="2" x14ac:dyDescent="0.25">
      <c r="A77" s="28"/>
      <c r="B77" s="11" t="str">
        <f>CONCATENATE("          ", "6375", " - ", "OUTSIDE REPAIRS &amp; MAINTENANCE")</f>
        <v xml:space="preserve">          6375 - OUTSIDE REPAIRS &amp; MAINTENANCE</v>
      </c>
      <c r="C77" s="11"/>
      <c r="D77" s="6">
        <v>2265.12</v>
      </c>
      <c r="E77" s="2"/>
      <c r="F77" s="7">
        <f t="shared" si="37"/>
        <v>3.5308867636795908E-2</v>
      </c>
      <c r="G77" s="2"/>
      <c r="H77" s="6">
        <v>2150</v>
      </c>
      <c r="I77" s="2"/>
      <c r="J77" s="7">
        <f t="shared" si="38"/>
        <v>0.13716983539619754</v>
      </c>
      <c r="K77" s="2"/>
      <c r="L77" s="6">
        <f t="shared" si="39"/>
        <v>115.11999999999989</v>
      </c>
      <c r="M77" s="2"/>
      <c r="N77" s="7">
        <f t="shared" si="40"/>
        <v>5.354418604651158E-2</v>
      </c>
      <c r="O77" s="11"/>
      <c r="P77" s="6">
        <v>8395.07</v>
      </c>
      <c r="Q77" s="2"/>
      <c r="R77" s="7">
        <f t="shared" si="41"/>
        <v>6.8787246303566446E-2</v>
      </c>
      <c r="S77" s="2"/>
      <c r="T77" s="6">
        <v>11209</v>
      </c>
      <c r="U77" s="2"/>
      <c r="V77" s="7">
        <f t="shared" si="42"/>
        <v>0.14521311050654229</v>
      </c>
      <c r="W77" s="2"/>
      <c r="X77" s="6">
        <f t="shared" si="43"/>
        <v>-2813.9300000000003</v>
      </c>
      <c r="Y77" s="2"/>
      <c r="Z77" s="7">
        <f t="shared" si="44"/>
        <v>-0.25104201980551344</v>
      </c>
    </row>
    <row r="78" spans="1:26" s="29" customFormat="1" outlineLevel="1" collapsed="1" x14ac:dyDescent="0.25">
      <c r="A78" s="27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5">IF(D$12=0,0,D78/D$12)</f>
        <v>0</v>
      </c>
      <c r="G78" s="1"/>
      <c r="H78" s="1">
        <f>SUM(OSRRefH22_14x_0)</f>
        <v>0</v>
      </c>
      <c r="I78" s="1"/>
      <c r="J78" s="5">
        <f t="shared" ref="J78:J80" si="46">IF(H$12=0,0,H78/H$12)</f>
        <v>0</v>
      </c>
      <c r="K78" s="1"/>
      <c r="L78" s="1">
        <f t="shared" ref="L78:L80" si="47">+D78-H78</f>
        <v>0</v>
      </c>
      <c r="M78" s="1"/>
      <c r="N78" s="5">
        <f t="shared" ref="N78:N80" si="48">IF(H78=0,0,L78/H78)</f>
        <v>0</v>
      </c>
      <c r="O78" s="14"/>
      <c r="P78" s="1">
        <f>SUM(OSRRefP22_14x_0)</f>
        <v>0</v>
      </c>
      <c r="Q78" s="1"/>
      <c r="R78" s="5">
        <f t="shared" ref="R78:R80" si="49">IF(P$12=0,0,P78/P$12)</f>
        <v>0</v>
      </c>
      <c r="S78" s="1"/>
      <c r="T78" s="1">
        <f>SUM(OSRRefT22_14x_0)</f>
        <v>0</v>
      </c>
      <c r="U78" s="1"/>
      <c r="V78" s="5">
        <f t="shared" ref="V78:V80" si="50">IF(T$12=0,0,T78/T$12)</f>
        <v>0</v>
      </c>
      <c r="W78" s="1"/>
      <c r="X78" s="1">
        <f t="shared" ref="X78:X80" si="51">+P78-T78</f>
        <v>0</v>
      </c>
      <c r="Y78" s="1"/>
      <c r="Z78" s="5">
        <f t="shared" ref="Z78:Z80" si="52">IF(T78=0,0,X78/T78)</f>
        <v>0</v>
      </c>
    </row>
    <row r="79" spans="1:26" s="24" customFormat="1" hidden="1" outlineLevel="2" x14ac:dyDescent="0.25">
      <c r="A79" s="28"/>
      <c r="B79" s="11" t="str">
        <f>CONCATENATE("          ", "6254", " - ", "ROYALTY &amp; COMMISSIONS")</f>
        <v xml:space="preserve">          6254 - ROYALTY &amp; COMMISSIONS</v>
      </c>
      <c r="C79" s="11"/>
      <c r="D79" s="6"/>
      <c r="E79" s="2"/>
      <c r="F79" s="7">
        <f t="shared" si="45"/>
        <v>0</v>
      </c>
      <c r="G79" s="2"/>
      <c r="H79" s="6">
        <v>0</v>
      </c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/>
      <c r="Q79" s="2"/>
      <c r="R79" s="7">
        <f t="shared" si="49"/>
        <v>0</v>
      </c>
      <c r="S79" s="2"/>
      <c r="T79" s="6">
        <v>0</v>
      </c>
      <c r="U79" s="2"/>
      <c r="V79" s="7">
        <f t="shared" si="50"/>
        <v>0</v>
      </c>
      <c r="W79" s="2"/>
      <c r="X79" s="6">
        <f t="shared" si="51"/>
        <v>0</v>
      </c>
      <c r="Y79" s="2"/>
      <c r="Z79" s="7">
        <f t="shared" si="52"/>
        <v>0</v>
      </c>
    </row>
    <row r="80" spans="1:26" s="24" customFormat="1" hidden="1" outlineLevel="2" x14ac:dyDescent="0.25">
      <c r="A80" s="28"/>
      <c r="B80" s="11" t="str">
        <f>CONCATENATE("          ", "6259", " - ", "ROYALTY &amp; COMMISSIONS")</f>
        <v xml:space="preserve">          6259 - ROYALTY &amp; COMMISSIONS</v>
      </c>
      <c r="C80" s="11"/>
      <c r="D80" s="6"/>
      <c r="E80" s="2"/>
      <c r="F80" s="7">
        <f t="shared" si="45"/>
        <v>0</v>
      </c>
      <c r="G80" s="2"/>
      <c r="H80" s="6">
        <v>0</v>
      </c>
      <c r="I80" s="2"/>
      <c r="J80" s="7">
        <f t="shared" si="46"/>
        <v>0</v>
      </c>
      <c r="K80" s="2"/>
      <c r="L80" s="6">
        <f t="shared" si="47"/>
        <v>0</v>
      </c>
      <c r="M80" s="2"/>
      <c r="N80" s="7">
        <f t="shared" si="48"/>
        <v>0</v>
      </c>
      <c r="O80" s="11"/>
      <c r="P80" s="6"/>
      <c r="Q80" s="2"/>
      <c r="R80" s="7">
        <f t="shared" si="49"/>
        <v>0</v>
      </c>
      <c r="S80" s="2"/>
      <c r="T80" s="6">
        <v>0</v>
      </c>
      <c r="U80" s="2"/>
      <c r="V80" s="7">
        <f t="shared" si="50"/>
        <v>0</v>
      </c>
      <c r="W80" s="2"/>
      <c r="X80" s="6">
        <f t="shared" si="51"/>
        <v>0</v>
      </c>
      <c r="Y80" s="2"/>
      <c r="Z80" s="7">
        <f t="shared" si="52"/>
        <v>0</v>
      </c>
    </row>
    <row r="81" spans="1:26" s="29" customFormat="1" outlineLevel="1" collapsed="1" x14ac:dyDescent="0.25">
      <c r="A81" s="27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8548.44</v>
      </c>
      <c r="E81" s="1"/>
      <c r="F81" s="5">
        <f t="shared" ref="F81:F86" si="53">IF(D$12=0,0,D81/D$12)</f>
        <v>0.13325375099822157</v>
      </c>
      <c r="G81" s="1"/>
      <c r="H81" s="1">
        <f>SUM(OSRRefH22_15x_0)</f>
        <v>7181</v>
      </c>
      <c r="I81" s="1"/>
      <c r="J81" s="5">
        <f t="shared" ref="J81:J86" si="54">IF(H$12=0,0,H81/H$12)</f>
        <v>0.45814725022329972</v>
      </c>
      <c r="K81" s="1"/>
      <c r="L81" s="1">
        <f t="shared" ref="L81:L86" si="55">+D81-H81</f>
        <v>1367.4400000000005</v>
      </c>
      <c r="M81" s="1"/>
      <c r="N81" s="5">
        <f t="shared" ref="N81:N86" si="56">IF(H81=0,0,L81/H81)</f>
        <v>0.19042473193148593</v>
      </c>
      <c r="O81" s="14"/>
      <c r="P81" s="1">
        <f>SUM(OSRRefP22_15x_0)</f>
        <v>25529.23</v>
      </c>
      <c r="Q81" s="1"/>
      <c r="R81" s="5">
        <f t="shared" ref="R81:R86" si="57">IF(P$12=0,0,P81/P$12)</f>
        <v>0.20918055858383525</v>
      </c>
      <c r="S81" s="1"/>
      <c r="T81" s="1">
        <f>SUM(OSRRefT22_15x_0)</f>
        <v>33320</v>
      </c>
      <c r="U81" s="1"/>
      <c r="V81" s="5">
        <f t="shared" ref="V81:V86" si="58">IF(T$12=0,0,T81/T$12)</f>
        <v>0.43166213240057</v>
      </c>
      <c r="W81" s="1"/>
      <c r="X81" s="1">
        <f t="shared" ref="X81:X86" si="59">+P81-T81</f>
        <v>-7790.77</v>
      </c>
      <c r="Y81" s="1"/>
      <c r="Z81" s="5">
        <f t="shared" ref="Z81:Z86" si="60">IF(T81=0,0,X81/T81)</f>
        <v>-0.23381662665066028</v>
      </c>
    </row>
    <row r="82" spans="1:26" s="24" customFormat="1" hidden="1" outlineLevel="2" x14ac:dyDescent="0.25">
      <c r="A82" s="28"/>
      <c r="B82" s="11" t="str">
        <f>CONCATENATE("          ", "6282", " - ", "JANITORIAL/EXTERMINATOR EXPENS")</f>
        <v xml:space="preserve">          6282 - JANITORIAL/EXTERMINATOR EXPENS</v>
      </c>
      <c r="C82" s="11"/>
      <c r="D82" s="6"/>
      <c r="E82" s="2"/>
      <c r="F82" s="7">
        <f t="shared" si="53"/>
        <v>0</v>
      </c>
      <c r="G82" s="2"/>
      <c r="H82" s="6">
        <v>955</v>
      </c>
      <c r="I82" s="2"/>
      <c r="J82" s="7">
        <f t="shared" si="54"/>
        <v>6.092892688528774E-2</v>
      </c>
      <c r="K82" s="2"/>
      <c r="L82" s="6">
        <f t="shared" si="55"/>
        <v>-955</v>
      </c>
      <c r="M82" s="2"/>
      <c r="N82" s="7">
        <f t="shared" si="56"/>
        <v>-1</v>
      </c>
      <c r="O82" s="11"/>
      <c r="P82" s="6">
        <v>1752.65</v>
      </c>
      <c r="Q82" s="2"/>
      <c r="R82" s="7">
        <f t="shared" si="57"/>
        <v>1.4360805476779316E-2</v>
      </c>
      <c r="S82" s="2"/>
      <c r="T82" s="6">
        <v>4775</v>
      </c>
      <c r="U82" s="2"/>
      <c r="V82" s="7">
        <f t="shared" si="58"/>
        <v>6.1860344604223343E-2</v>
      </c>
      <c r="W82" s="2"/>
      <c r="X82" s="6">
        <f t="shared" si="59"/>
        <v>-3022.35</v>
      </c>
      <c r="Y82" s="2"/>
      <c r="Z82" s="7">
        <f t="shared" si="60"/>
        <v>-0.63295287958115176</v>
      </c>
    </row>
    <row r="83" spans="1:26" s="24" customFormat="1" hidden="1" outlineLevel="2" x14ac:dyDescent="0.25">
      <c r="A83" s="28"/>
      <c r="B83" s="11" t="str">
        <f>CONCATENATE("          ", "6283", " - ", "PLANT SERVICE")</f>
        <v xml:space="preserve">          6283 - PLANT SERVICE</v>
      </c>
      <c r="C83" s="11"/>
      <c r="D83" s="6"/>
      <c r="E83" s="2"/>
      <c r="F83" s="7">
        <f t="shared" si="53"/>
        <v>0</v>
      </c>
      <c r="G83" s="2"/>
      <c r="H83" s="6">
        <v>62</v>
      </c>
      <c r="I83" s="2"/>
      <c r="J83" s="7">
        <f t="shared" si="54"/>
        <v>3.9555952532856964E-3</v>
      </c>
      <c r="K83" s="2"/>
      <c r="L83" s="6">
        <f t="shared" si="55"/>
        <v>-62</v>
      </c>
      <c r="M83" s="2"/>
      <c r="N83" s="7">
        <f t="shared" si="56"/>
        <v>-1</v>
      </c>
      <c r="O83" s="11"/>
      <c r="P83" s="6"/>
      <c r="Q83" s="2"/>
      <c r="R83" s="7">
        <f t="shared" si="57"/>
        <v>0</v>
      </c>
      <c r="S83" s="2"/>
      <c r="T83" s="6">
        <v>248</v>
      </c>
      <c r="U83" s="2"/>
      <c r="V83" s="7">
        <f t="shared" si="58"/>
        <v>3.2128514056224901E-3</v>
      </c>
      <c r="W83" s="2"/>
      <c r="X83" s="6">
        <f t="shared" si="59"/>
        <v>-248</v>
      </c>
      <c r="Y83" s="2"/>
      <c r="Z83" s="7">
        <f t="shared" si="60"/>
        <v>-1</v>
      </c>
    </row>
    <row r="84" spans="1:26" s="24" customFormat="1" hidden="1" outlineLevel="2" x14ac:dyDescent="0.25">
      <c r="A84" s="28"/>
      <c r="B84" s="11" t="str">
        <f>CONCATENATE("          ", "6284", " - ", "TRASH REMOVAL EXPENSE")</f>
        <v xml:space="preserve">          6284 - TRASH REMOVAL EXPENSE</v>
      </c>
      <c r="C84" s="11"/>
      <c r="D84" s="6">
        <v>5369</v>
      </c>
      <c r="E84" s="2"/>
      <c r="F84" s="7">
        <f t="shared" si="53"/>
        <v>8.3692391724039888E-2</v>
      </c>
      <c r="G84" s="2"/>
      <c r="H84" s="6">
        <v>3123</v>
      </c>
      <c r="I84" s="2"/>
      <c r="J84" s="7">
        <f t="shared" si="54"/>
        <v>0.19924716090340691</v>
      </c>
      <c r="K84" s="2"/>
      <c r="L84" s="6">
        <f t="shared" si="55"/>
        <v>2246</v>
      </c>
      <c r="M84" s="2"/>
      <c r="N84" s="7">
        <f t="shared" si="56"/>
        <v>0.71918027537624074</v>
      </c>
      <c r="O84" s="11"/>
      <c r="P84" s="6">
        <v>13499</v>
      </c>
      <c r="Q84" s="2"/>
      <c r="R84" s="7">
        <f t="shared" si="57"/>
        <v>0.1106076587630411</v>
      </c>
      <c r="S84" s="2"/>
      <c r="T84" s="6">
        <v>12792</v>
      </c>
      <c r="U84" s="2"/>
      <c r="V84" s="7">
        <f t="shared" si="58"/>
        <v>0.16572094830936651</v>
      </c>
      <c r="W84" s="2"/>
      <c r="X84" s="6">
        <f t="shared" si="59"/>
        <v>707</v>
      </c>
      <c r="Y84" s="2"/>
      <c r="Z84" s="7">
        <f t="shared" si="60"/>
        <v>5.5268918073796122E-2</v>
      </c>
    </row>
    <row r="85" spans="1:26" s="24" customFormat="1" hidden="1" outlineLevel="2" x14ac:dyDescent="0.25">
      <c r="A85" s="28"/>
      <c r="B85" s="11" t="str">
        <f>CONCATENATE("          ", "6285", " - ", "JANITORIAL SERVICES")</f>
        <v xml:space="preserve">          6285 - JANITORIAL SERVICES</v>
      </c>
      <c r="C85" s="11"/>
      <c r="D85" s="6">
        <v>3179.44</v>
      </c>
      <c r="E85" s="2"/>
      <c r="F85" s="7">
        <f t="shared" si="53"/>
        <v>4.956135927418167E-2</v>
      </c>
      <c r="G85" s="2"/>
      <c r="H85" s="6">
        <v>3041</v>
      </c>
      <c r="I85" s="2"/>
      <c r="J85" s="7">
        <f t="shared" si="54"/>
        <v>0.19401556718131938</v>
      </c>
      <c r="K85" s="2"/>
      <c r="L85" s="6">
        <f t="shared" si="55"/>
        <v>138.44000000000005</v>
      </c>
      <c r="M85" s="2"/>
      <c r="N85" s="7">
        <f t="shared" si="56"/>
        <v>4.5524498520223632E-2</v>
      </c>
      <c r="O85" s="11"/>
      <c r="P85" s="6">
        <v>9591.3700000000008</v>
      </c>
      <c r="Q85" s="2"/>
      <c r="R85" s="7">
        <f t="shared" si="57"/>
        <v>7.8589449591085977E-2</v>
      </c>
      <c r="S85" s="2"/>
      <c r="T85" s="6">
        <v>15505</v>
      </c>
      <c r="U85" s="2"/>
      <c r="V85" s="7">
        <f t="shared" si="58"/>
        <v>0.2008679880813577</v>
      </c>
      <c r="W85" s="2"/>
      <c r="X85" s="6">
        <f t="shared" si="59"/>
        <v>-5913.6299999999992</v>
      </c>
      <c r="Y85" s="2"/>
      <c r="Z85" s="7">
        <f t="shared" si="60"/>
        <v>-0.381401483392454</v>
      </c>
    </row>
    <row r="86" spans="1:26" s="24" customFormat="1" hidden="1" outlineLevel="2" x14ac:dyDescent="0.25">
      <c r="A86" s="28"/>
      <c r="B86" s="11" t="str">
        <f>CONCATENATE("          ", "6286", " - ", "LAUNDRY EXPENSE")</f>
        <v xml:space="preserve">          6286 - LAUNDRY EXPENSE</v>
      </c>
      <c r="C86" s="11"/>
      <c r="D86" s="6"/>
      <c r="E86" s="2"/>
      <c r="F86" s="7">
        <f t="shared" si="53"/>
        <v>0</v>
      </c>
      <c r="G86" s="2"/>
      <c r="H86" s="6">
        <v>0</v>
      </c>
      <c r="I86" s="2"/>
      <c r="J86" s="7">
        <f t="shared" si="54"/>
        <v>0</v>
      </c>
      <c r="K86" s="2"/>
      <c r="L86" s="6">
        <f t="shared" si="55"/>
        <v>0</v>
      </c>
      <c r="M86" s="2"/>
      <c r="N86" s="7">
        <f t="shared" si="56"/>
        <v>0</v>
      </c>
      <c r="O86" s="11"/>
      <c r="P86" s="6">
        <v>686.21</v>
      </c>
      <c r="Q86" s="2"/>
      <c r="R86" s="7">
        <f t="shared" si="57"/>
        <v>5.6226447529288421E-3</v>
      </c>
      <c r="S86" s="2"/>
      <c r="T86" s="6">
        <v>0</v>
      </c>
      <c r="U86" s="2"/>
      <c r="V86" s="7">
        <f t="shared" si="58"/>
        <v>0</v>
      </c>
      <c r="W86" s="2"/>
      <c r="X86" s="6">
        <f t="shared" si="59"/>
        <v>686.21</v>
      </c>
      <c r="Y86" s="2"/>
      <c r="Z86" s="7">
        <f t="shared" si="60"/>
        <v>0</v>
      </c>
    </row>
    <row r="87" spans="1:26" s="29" customFormat="1" outlineLevel="1" collapsed="1" x14ac:dyDescent="0.25">
      <c r="A87" s="27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0</v>
      </c>
      <c r="E87" s="1"/>
      <c r="F87" s="5">
        <f t="shared" ref="F87:F100" si="61">IF(D$12=0,0,D87/D$12)</f>
        <v>0</v>
      </c>
      <c r="G87" s="1"/>
      <c r="H87" s="1">
        <f>SUM(OSRRefH22_16x_0)</f>
        <v>197</v>
      </c>
      <c r="I87" s="1"/>
      <c r="J87" s="5">
        <f t="shared" ref="J87:J100" si="62">IF(H$12=0,0,H87/H$12)</f>
        <v>1.2568584917698099E-2</v>
      </c>
      <c r="K87" s="1"/>
      <c r="L87" s="1">
        <f t="shared" ref="L87:L100" si="63">+D87-H87</f>
        <v>-197</v>
      </c>
      <c r="M87" s="1"/>
      <c r="N87" s="5">
        <f t="shared" ref="N87:N100" si="64">IF(H87=0,0,L87/H87)</f>
        <v>-1</v>
      </c>
      <c r="O87" s="14"/>
      <c r="P87" s="1">
        <f>SUM(OSRRefP22_16x_0)</f>
        <v>271.33</v>
      </c>
      <c r="Q87" s="1"/>
      <c r="R87" s="5">
        <f t="shared" ref="R87:R100" si="65">IF(P$12=0,0,P87/P$12)</f>
        <v>2.2232147605138115E-3</v>
      </c>
      <c r="S87" s="1"/>
      <c r="T87" s="1">
        <f>SUM(OSRRefT22_16x_0)</f>
        <v>985</v>
      </c>
      <c r="U87" s="1"/>
      <c r="V87" s="5">
        <f t="shared" ref="V87:V100" si="66">IF(T$12=0,0,T87/T$12)</f>
        <v>1.2760720300557067E-2</v>
      </c>
      <c r="W87" s="1"/>
      <c r="X87" s="1">
        <f t="shared" ref="X87:X100" si="67">+P87-T87</f>
        <v>-713.67000000000007</v>
      </c>
      <c r="Y87" s="1"/>
      <c r="Z87" s="5">
        <f t="shared" ref="Z87:Z100" si="68">IF(T87=0,0,X87/T87)</f>
        <v>-0.72453807106598989</v>
      </c>
    </row>
    <row r="88" spans="1:26" s="24" customFormat="1" hidden="1" outlineLevel="2" x14ac:dyDescent="0.25">
      <c r="A88" s="28"/>
      <c r="B88" s="11" t="str">
        <f>CONCATENATE("          ", "6275", " - ", "SUBSCRIPTIONS")</f>
        <v xml:space="preserve">          6275 - SUBSCRIPTIONS</v>
      </c>
      <c r="C88" s="11"/>
      <c r="D88" s="6"/>
      <c r="E88" s="2"/>
      <c r="F88" s="7">
        <f t="shared" si="61"/>
        <v>0</v>
      </c>
      <c r="G88" s="2"/>
      <c r="H88" s="6">
        <v>197</v>
      </c>
      <c r="I88" s="2"/>
      <c r="J88" s="7">
        <f t="shared" si="62"/>
        <v>1.2568584917698099E-2</v>
      </c>
      <c r="K88" s="2"/>
      <c r="L88" s="6">
        <f t="shared" si="63"/>
        <v>-197</v>
      </c>
      <c r="M88" s="2"/>
      <c r="N88" s="7">
        <f t="shared" si="64"/>
        <v>-1</v>
      </c>
      <c r="O88" s="11"/>
      <c r="P88" s="6">
        <v>271.33</v>
      </c>
      <c r="Q88" s="2"/>
      <c r="R88" s="7">
        <f t="shared" si="65"/>
        <v>2.2232147605138115E-3</v>
      </c>
      <c r="S88" s="2"/>
      <c r="T88" s="6">
        <v>985</v>
      </c>
      <c r="U88" s="2"/>
      <c r="V88" s="7">
        <f t="shared" si="66"/>
        <v>1.2760720300557067E-2</v>
      </c>
      <c r="W88" s="2"/>
      <c r="X88" s="6">
        <f t="shared" si="67"/>
        <v>-713.67000000000007</v>
      </c>
      <c r="Y88" s="2"/>
      <c r="Z88" s="7">
        <f t="shared" si="68"/>
        <v>-0.72453807106598989</v>
      </c>
    </row>
    <row r="89" spans="1:26" s="29" customFormat="1" outlineLevel="1" collapsed="1" x14ac:dyDescent="0.25">
      <c r="A89" s="27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SUM(OSRRefD22_17x_0)</f>
        <v>72</v>
      </c>
      <c r="E89" s="1"/>
      <c r="F89" s="5">
        <f t="shared" si="61"/>
        <v>1.1223416286330549E-3</v>
      </c>
      <c r="G89" s="1"/>
      <c r="H89" s="1">
        <f>SUM(OSRRefH22_17x_0)</f>
        <v>1257</v>
      </c>
      <c r="I89" s="1"/>
      <c r="J89" s="5">
        <f t="shared" si="62"/>
        <v>8.0196503764195487E-2</v>
      </c>
      <c r="K89" s="1"/>
      <c r="L89" s="1">
        <f t="shared" si="63"/>
        <v>-1185</v>
      </c>
      <c r="M89" s="1"/>
      <c r="N89" s="5">
        <f t="shared" si="64"/>
        <v>-0.94272076372315039</v>
      </c>
      <c r="O89" s="14"/>
      <c r="P89" s="1">
        <f>SUM(OSRRefP22_17x_0)</f>
        <v>-21570.68</v>
      </c>
      <c r="Q89" s="1"/>
      <c r="R89" s="5">
        <f t="shared" si="65"/>
        <v>-0.17674512280367105</v>
      </c>
      <c r="S89" s="1"/>
      <c r="T89" s="1">
        <f>SUM(OSRRefT22_17x_0)</f>
        <v>12688</v>
      </c>
      <c r="U89" s="1"/>
      <c r="V89" s="5">
        <f t="shared" si="66"/>
        <v>0.1643736235263635</v>
      </c>
      <c r="W89" s="1"/>
      <c r="X89" s="1">
        <f t="shared" si="67"/>
        <v>-34258.68</v>
      </c>
      <c r="Y89" s="1"/>
      <c r="Z89" s="5">
        <f t="shared" si="68"/>
        <v>-2.7000851197982345</v>
      </c>
    </row>
    <row r="90" spans="1:26" s="24" customFormat="1" hidden="1" outlineLevel="2" x14ac:dyDescent="0.25">
      <c r="A90" s="28"/>
      <c r="B90" s="11" t="str">
        <f>CONCATENATE("          ", "6234", " - ", "EXPENDABLE SUPPLIES &amp; EQUIPMEN")</f>
        <v xml:space="preserve">          6234 - EXPENDABLE SUPPLIES &amp; EQUIPMEN</v>
      </c>
      <c r="C90" s="11"/>
      <c r="D90" s="6"/>
      <c r="E90" s="2"/>
      <c r="F90" s="7">
        <f t="shared" si="61"/>
        <v>0</v>
      </c>
      <c r="G90" s="2"/>
      <c r="H90" s="6">
        <v>68</v>
      </c>
      <c r="I90" s="2"/>
      <c r="J90" s="7">
        <f t="shared" si="62"/>
        <v>4.3383947939262474E-3</v>
      </c>
      <c r="K90" s="2"/>
      <c r="L90" s="6">
        <f t="shared" si="63"/>
        <v>-68</v>
      </c>
      <c r="M90" s="2"/>
      <c r="N90" s="7">
        <f t="shared" si="64"/>
        <v>-1</v>
      </c>
      <c r="O90" s="11"/>
      <c r="P90" s="6">
        <v>310.91000000000003</v>
      </c>
      <c r="Q90" s="2"/>
      <c r="R90" s="7">
        <f t="shared" si="65"/>
        <v>2.5475240525977562E-3</v>
      </c>
      <c r="S90" s="2"/>
      <c r="T90" s="6">
        <v>68</v>
      </c>
      <c r="U90" s="2"/>
      <c r="V90" s="7">
        <f t="shared" si="66"/>
        <v>8.8094312734810203E-4</v>
      </c>
      <c r="W90" s="2"/>
      <c r="X90" s="6">
        <f t="shared" si="67"/>
        <v>242.91000000000003</v>
      </c>
      <c r="Y90" s="2"/>
      <c r="Z90" s="7">
        <f t="shared" si="68"/>
        <v>3.5722058823529417</v>
      </c>
    </row>
    <row r="91" spans="1:26" s="24" customFormat="1" hidden="1" outlineLevel="2" x14ac:dyDescent="0.25">
      <c r="A91" s="28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61"/>
        <v>0</v>
      </c>
      <c r="G91" s="2"/>
      <c r="H91" s="6">
        <v>0</v>
      </c>
      <c r="I91" s="2"/>
      <c r="J91" s="7">
        <f t="shared" si="62"/>
        <v>0</v>
      </c>
      <c r="K91" s="2"/>
      <c r="L91" s="6">
        <f t="shared" si="63"/>
        <v>0</v>
      </c>
      <c r="M91" s="2"/>
      <c r="N91" s="7">
        <f t="shared" si="64"/>
        <v>0</v>
      </c>
      <c r="O91" s="11"/>
      <c r="P91" s="6">
        <v>6881.86</v>
      </c>
      <c r="Q91" s="2"/>
      <c r="R91" s="7">
        <f t="shared" si="65"/>
        <v>5.6388356362324768E-2</v>
      </c>
      <c r="S91" s="2"/>
      <c r="T91" s="6">
        <v>0</v>
      </c>
      <c r="U91" s="2"/>
      <c r="V91" s="7">
        <f t="shared" si="66"/>
        <v>0</v>
      </c>
      <c r="W91" s="2"/>
      <c r="X91" s="6">
        <f t="shared" si="67"/>
        <v>6881.86</v>
      </c>
      <c r="Y91" s="2"/>
      <c r="Z91" s="7">
        <f t="shared" si="68"/>
        <v>0</v>
      </c>
    </row>
    <row r="92" spans="1:26" s="24" customFormat="1" hidden="1" outlineLevel="2" x14ac:dyDescent="0.25">
      <c r="A92" s="28"/>
      <c r="B92" s="11" t="str">
        <f>CONCATENATE("          ", "6237", " - ", "JANITORIAL SUPPLIES")</f>
        <v xml:space="preserve">          6237 - JANITORIAL SUPPLIES</v>
      </c>
      <c r="C92" s="11"/>
      <c r="D92" s="6">
        <v>72</v>
      </c>
      <c r="E92" s="2"/>
      <c r="F92" s="7">
        <f t="shared" si="61"/>
        <v>1.1223416286330549E-3</v>
      </c>
      <c r="G92" s="2"/>
      <c r="H92" s="6">
        <v>890</v>
      </c>
      <c r="I92" s="2"/>
      <c r="J92" s="7">
        <f t="shared" si="62"/>
        <v>5.6781931861681768E-2</v>
      </c>
      <c r="K92" s="2"/>
      <c r="L92" s="6">
        <f t="shared" si="63"/>
        <v>-818</v>
      </c>
      <c r="M92" s="2"/>
      <c r="N92" s="7">
        <f t="shared" si="64"/>
        <v>-0.91910112359550566</v>
      </c>
      <c r="O92" s="11"/>
      <c r="P92" s="6">
        <v>340.05</v>
      </c>
      <c r="Q92" s="2"/>
      <c r="R92" s="7">
        <f t="shared" si="65"/>
        <v>2.7862904187252483E-3</v>
      </c>
      <c r="S92" s="2"/>
      <c r="T92" s="6">
        <v>3698</v>
      </c>
      <c r="U92" s="2"/>
      <c r="V92" s="7">
        <f t="shared" si="66"/>
        <v>4.790776007254826E-2</v>
      </c>
      <c r="W92" s="2"/>
      <c r="X92" s="6">
        <f t="shared" si="67"/>
        <v>-3357.95</v>
      </c>
      <c r="Y92" s="2"/>
      <c r="Z92" s="7">
        <f t="shared" si="68"/>
        <v>-0.90804488912925896</v>
      </c>
    </row>
    <row r="93" spans="1:26" s="24" customFormat="1" hidden="1" outlineLevel="2" x14ac:dyDescent="0.25">
      <c r="A93" s="28"/>
      <c r="B93" s="11" t="str">
        <f>CONCATENATE("          ", "6239", " - ", "KITCHEN SUPPLIES")</f>
        <v xml:space="preserve">          6239 - KITCHEN SUPPLIES</v>
      </c>
      <c r="C93" s="11"/>
      <c r="D93" s="6"/>
      <c r="E93" s="2"/>
      <c r="F93" s="7">
        <f t="shared" si="61"/>
        <v>0</v>
      </c>
      <c r="G93" s="2"/>
      <c r="H93" s="6">
        <v>40</v>
      </c>
      <c r="I93" s="2"/>
      <c r="J93" s="7">
        <f t="shared" si="62"/>
        <v>2.5519969376036748E-3</v>
      </c>
      <c r="K93" s="2"/>
      <c r="L93" s="6">
        <f t="shared" si="63"/>
        <v>-40</v>
      </c>
      <c r="M93" s="2"/>
      <c r="N93" s="7">
        <f t="shared" si="64"/>
        <v>-1</v>
      </c>
      <c r="O93" s="11"/>
      <c r="P93" s="6">
        <v>19.829999999999998</v>
      </c>
      <c r="Q93" s="2"/>
      <c r="R93" s="7">
        <f t="shared" si="65"/>
        <v>1.6248239671613488E-4</v>
      </c>
      <c r="S93" s="2"/>
      <c r="T93" s="6">
        <v>232</v>
      </c>
      <c r="U93" s="2"/>
      <c r="V93" s="7">
        <f t="shared" si="66"/>
        <v>3.0055706697758775E-3</v>
      </c>
      <c r="W93" s="2"/>
      <c r="X93" s="6">
        <f t="shared" si="67"/>
        <v>-212.17000000000002</v>
      </c>
      <c r="Y93" s="2"/>
      <c r="Z93" s="7">
        <f t="shared" si="68"/>
        <v>-0.91452586206896558</v>
      </c>
    </row>
    <row r="94" spans="1:26" s="24" customFormat="1" hidden="1" outlineLevel="2" x14ac:dyDescent="0.25">
      <c r="A94" s="28"/>
      <c r="B94" s="11" t="str">
        <f>CONCATENATE("          ", "6241", " - ", "OFFICE EXPENSE")</f>
        <v xml:space="preserve">          6241 - OFFICE EXPENSE</v>
      </c>
      <c r="C94" s="11"/>
      <c r="D94" s="6"/>
      <c r="E94" s="2"/>
      <c r="F94" s="7">
        <f t="shared" si="61"/>
        <v>0</v>
      </c>
      <c r="G94" s="2"/>
      <c r="H94" s="6">
        <v>25</v>
      </c>
      <c r="I94" s="2"/>
      <c r="J94" s="7">
        <f t="shared" si="62"/>
        <v>1.5949980860022969E-3</v>
      </c>
      <c r="K94" s="2"/>
      <c r="L94" s="6">
        <f t="shared" si="63"/>
        <v>-25</v>
      </c>
      <c r="M94" s="2"/>
      <c r="N94" s="7">
        <f t="shared" si="64"/>
        <v>-1</v>
      </c>
      <c r="O94" s="11"/>
      <c r="P94" s="6">
        <v>-29123.329999999998</v>
      </c>
      <c r="Q94" s="2"/>
      <c r="R94" s="7">
        <f t="shared" si="65"/>
        <v>-0.23862977603403496</v>
      </c>
      <c r="S94" s="2"/>
      <c r="T94" s="6">
        <v>5387</v>
      </c>
      <c r="U94" s="2"/>
      <c r="V94" s="7">
        <f t="shared" si="66"/>
        <v>6.9788832750356258E-2</v>
      </c>
      <c r="W94" s="2"/>
      <c r="X94" s="6">
        <f t="shared" si="67"/>
        <v>-34510.33</v>
      </c>
      <c r="Y94" s="2"/>
      <c r="Z94" s="7">
        <f t="shared" si="68"/>
        <v>-6.4062242435492855</v>
      </c>
    </row>
    <row r="95" spans="1:26" s="24" customFormat="1" hidden="1" outlineLevel="2" x14ac:dyDescent="0.25">
      <c r="A95" s="28"/>
      <c r="B95" s="11" t="str">
        <f>CONCATENATE("          ", "6243", " - ", "PAPER SUPPLIES")</f>
        <v xml:space="preserve">          6243 - PAPER SUPPLIES</v>
      </c>
      <c r="C95" s="11"/>
      <c r="D95" s="6"/>
      <c r="E95" s="2"/>
      <c r="F95" s="7">
        <f t="shared" si="61"/>
        <v>0</v>
      </c>
      <c r="G95" s="2"/>
      <c r="H95" s="6">
        <v>234</v>
      </c>
      <c r="I95" s="2"/>
      <c r="J95" s="7">
        <f t="shared" si="62"/>
        <v>1.4929182084981498E-2</v>
      </c>
      <c r="K95" s="2"/>
      <c r="L95" s="6">
        <f t="shared" si="63"/>
        <v>-234</v>
      </c>
      <c r="M95" s="2"/>
      <c r="N95" s="7">
        <f t="shared" si="64"/>
        <v>-1</v>
      </c>
      <c r="O95" s="11"/>
      <c r="P95" s="6"/>
      <c r="Q95" s="2"/>
      <c r="R95" s="7">
        <f t="shared" si="65"/>
        <v>0</v>
      </c>
      <c r="S95" s="2"/>
      <c r="T95" s="6">
        <v>2892</v>
      </c>
      <c r="U95" s="2"/>
      <c r="V95" s="7">
        <f t="shared" si="66"/>
        <v>3.7465993004275167E-2</v>
      </c>
      <c r="W95" s="2"/>
      <c r="X95" s="6">
        <f t="shared" si="67"/>
        <v>-2892</v>
      </c>
      <c r="Y95" s="2"/>
      <c r="Z95" s="7">
        <f t="shared" si="68"/>
        <v>-1</v>
      </c>
    </row>
    <row r="96" spans="1:26" s="24" customFormat="1" hidden="1" outlineLevel="2" x14ac:dyDescent="0.25">
      <c r="A96" s="28"/>
      <c r="B96" s="11" t="str">
        <f>CONCATENATE("          ", "6244", " - ", "SAFETY SUPPLY EXPENSE")</f>
        <v xml:space="preserve">          6244 - SAFETY SUPPLY EXPENSE</v>
      </c>
      <c r="C96" s="11"/>
      <c r="D96" s="6"/>
      <c r="E96" s="2"/>
      <c r="F96" s="7">
        <f t="shared" si="61"/>
        <v>0</v>
      </c>
      <c r="G96" s="2"/>
      <c r="H96" s="6">
        <v>0</v>
      </c>
      <c r="I96" s="2"/>
      <c r="J96" s="7">
        <f t="shared" si="62"/>
        <v>0</v>
      </c>
      <c r="K96" s="2"/>
      <c r="L96" s="6">
        <f t="shared" si="63"/>
        <v>0</v>
      </c>
      <c r="M96" s="2"/>
      <c r="N96" s="7">
        <f t="shared" si="64"/>
        <v>0</v>
      </c>
      <c r="O96" s="11"/>
      <c r="P96" s="6"/>
      <c r="Q96" s="2"/>
      <c r="R96" s="7">
        <f t="shared" si="65"/>
        <v>0</v>
      </c>
      <c r="S96" s="2"/>
      <c r="T96" s="6">
        <v>0</v>
      </c>
      <c r="U96" s="2"/>
      <c r="V96" s="7">
        <f t="shared" si="66"/>
        <v>0</v>
      </c>
      <c r="W96" s="2"/>
      <c r="X96" s="6">
        <f t="shared" si="67"/>
        <v>0</v>
      </c>
      <c r="Y96" s="2"/>
      <c r="Z96" s="7">
        <f t="shared" si="68"/>
        <v>0</v>
      </c>
    </row>
    <row r="97" spans="1:26" s="24" customFormat="1" hidden="1" outlineLevel="2" x14ac:dyDescent="0.25">
      <c r="A97" s="28"/>
      <c r="B97" s="11" t="str">
        <f>CONCATENATE("          ", "6245", " - ", "PRINTING")</f>
        <v xml:space="preserve">          6245 - PRINTING</v>
      </c>
      <c r="C97" s="11"/>
      <c r="D97" s="6"/>
      <c r="E97" s="2"/>
      <c r="F97" s="7">
        <f t="shared" si="61"/>
        <v>0</v>
      </c>
      <c r="G97" s="2"/>
      <c r="H97" s="6">
        <v>0</v>
      </c>
      <c r="I97" s="2"/>
      <c r="J97" s="7">
        <f t="shared" si="62"/>
        <v>0</v>
      </c>
      <c r="K97" s="2"/>
      <c r="L97" s="6">
        <f t="shared" si="63"/>
        <v>0</v>
      </c>
      <c r="M97" s="2"/>
      <c r="N97" s="7">
        <f t="shared" si="64"/>
        <v>0</v>
      </c>
      <c r="O97" s="11"/>
      <c r="P97" s="6"/>
      <c r="Q97" s="2"/>
      <c r="R97" s="7">
        <f t="shared" si="65"/>
        <v>0</v>
      </c>
      <c r="S97" s="2"/>
      <c r="T97" s="6">
        <v>0</v>
      </c>
      <c r="U97" s="2"/>
      <c r="V97" s="7">
        <f t="shared" si="66"/>
        <v>0</v>
      </c>
      <c r="W97" s="2"/>
      <c r="X97" s="6">
        <f t="shared" si="67"/>
        <v>0</v>
      </c>
      <c r="Y97" s="2"/>
      <c r="Z97" s="7">
        <f t="shared" si="68"/>
        <v>0</v>
      </c>
    </row>
    <row r="98" spans="1:26" s="24" customFormat="1" hidden="1" outlineLevel="2" x14ac:dyDescent="0.25">
      <c r="A98" s="28"/>
      <c r="B98" s="11" t="str">
        <f>CONCATENATE("          ", "6246", " - ", "REPLACEMENTS")</f>
        <v xml:space="preserve">          6246 - REPLACEMENTS</v>
      </c>
      <c r="C98" s="11"/>
      <c r="D98" s="6"/>
      <c r="E98" s="2"/>
      <c r="F98" s="7">
        <f t="shared" si="61"/>
        <v>0</v>
      </c>
      <c r="G98" s="2"/>
      <c r="H98" s="6">
        <v>0</v>
      </c>
      <c r="I98" s="2"/>
      <c r="J98" s="7">
        <f t="shared" si="62"/>
        <v>0</v>
      </c>
      <c r="K98" s="2"/>
      <c r="L98" s="6">
        <f t="shared" si="63"/>
        <v>0</v>
      </c>
      <c r="M98" s="2"/>
      <c r="N98" s="7">
        <f t="shared" si="64"/>
        <v>0</v>
      </c>
      <c r="O98" s="11"/>
      <c r="P98" s="6"/>
      <c r="Q98" s="2"/>
      <c r="R98" s="7">
        <f t="shared" si="65"/>
        <v>0</v>
      </c>
      <c r="S98" s="2"/>
      <c r="T98" s="6">
        <v>0</v>
      </c>
      <c r="U98" s="2"/>
      <c r="V98" s="7">
        <f t="shared" si="66"/>
        <v>0</v>
      </c>
      <c r="W98" s="2"/>
      <c r="X98" s="6">
        <f t="shared" si="67"/>
        <v>0</v>
      </c>
      <c r="Y98" s="2"/>
      <c r="Z98" s="7">
        <f t="shared" si="68"/>
        <v>0</v>
      </c>
    </row>
    <row r="99" spans="1:26" s="24" customFormat="1" hidden="1" outlineLevel="2" x14ac:dyDescent="0.25">
      <c r="A99" s="28"/>
      <c r="B99" s="11" t="str">
        <f>CONCATENATE("          ", "6247", " - ", "STORE SUPPLIES")</f>
        <v xml:space="preserve">          6247 - STORE SUPPLIES</v>
      </c>
      <c r="C99" s="11"/>
      <c r="D99" s="6"/>
      <c r="E99" s="2"/>
      <c r="F99" s="7">
        <f t="shared" si="61"/>
        <v>0</v>
      </c>
      <c r="G99" s="2"/>
      <c r="H99" s="6">
        <v>0</v>
      </c>
      <c r="I99" s="2"/>
      <c r="J99" s="7">
        <f t="shared" si="62"/>
        <v>0</v>
      </c>
      <c r="K99" s="2"/>
      <c r="L99" s="6">
        <f t="shared" si="63"/>
        <v>0</v>
      </c>
      <c r="M99" s="2"/>
      <c r="N99" s="7">
        <f t="shared" si="64"/>
        <v>0</v>
      </c>
      <c r="O99" s="11"/>
      <c r="P99" s="6"/>
      <c r="Q99" s="2"/>
      <c r="R99" s="7">
        <f t="shared" si="65"/>
        <v>0</v>
      </c>
      <c r="S99" s="2"/>
      <c r="T99" s="6">
        <v>411</v>
      </c>
      <c r="U99" s="2"/>
      <c r="V99" s="7">
        <f t="shared" si="66"/>
        <v>5.3245239020598524E-3</v>
      </c>
      <c r="W99" s="2"/>
      <c r="X99" s="6">
        <f t="shared" si="67"/>
        <v>-411</v>
      </c>
      <c r="Y99" s="2"/>
      <c r="Z99" s="7">
        <f t="shared" si="68"/>
        <v>-1</v>
      </c>
    </row>
    <row r="100" spans="1:26" s="24" customFormat="1" hidden="1" outlineLevel="2" x14ac:dyDescent="0.25">
      <c r="A100" s="28"/>
      <c r="B100" s="11" t="str">
        <f>CONCATENATE("          ", "6248", " - ", "UNIFORMS")</f>
        <v xml:space="preserve">          6248 - UNIFORMS</v>
      </c>
      <c r="C100" s="11"/>
      <c r="D100" s="6"/>
      <c r="E100" s="2"/>
      <c r="F100" s="7">
        <f t="shared" si="61"/>
        <v>0</v>
      </c>
      <c r="G100" s="2"/>
      <c r="H100" s="6"/>
      <c r="I100" s="2"/>
      <c r="J100" s="7">
        <f t="shared" si="62"/>
        <v>0</v>
      </c>
      <c r="K100" s="2"/>
      <c r="L100" s="6">
        <f t="shared" si="63"/>
        <v>0</v>
      </c>
      <c r="M100" s="2"/>
      <c r="N100" s="7">
        <f t="shared" si="64"/>
        <v>0</v>
      </c>
      <c r="O100" s="11"/>
      <c r="P100" s="6"/>
      <c r="Q100" s="2"/>
      <c r="R100" s="7">
        <f t="shared" si="65"/>
        <v>0</v>
      </c>
      <c r="S100" s="2"/>
      <c r="T100" s="6">
        <v>0</v>
      </c>
      <c r="U100" s="2"/>
      <c r="V100" s="7">
        <f t="shared" si="66"/>
        <v>0</v>
      </c>
      <c r="W100" s="2"/>
      <c r="X100" s="6">
        <f t="shared" si="67"/>
        <v>0</v>
      </c>
      <c r="Y100" s="2"/>
      <c r="Z100" s="7">
        <f t="shared" si="68"/>
        <v>0</v>
      </c>
    </row>
    <row r="101" spans="1:26" s="29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SUM(OSRRefD22_18x_0)</f>
        <v>622.1</v>
      </c>
      <c r="E101" s="1"/>
      <c r="F101" s="5">
        <f t="shared" ref="F101:F103" si="69">IF(D$12=0,0,D101/D$12)</f>
        <v>9.6973434329531046E-3</v>
      </c>
      <c r="G101" s="1"/>
      <c r="H101" s="1">
        <f>SUM(OSRRefH22_18x_0)</f>
        <v>238</v>
      </c>
      <c r="I101" s="1"/>
      <c r="J101" s="5">
        <f t="shared" ref="J101:J103" si="70">IF(H$12=0,0,H101/H$12)</f>
        <v>1.5184381778741865E-2</v>
      </c>
      <c r="K101" s="1"/>
      <c r="L101" s="1">
        <f t="shared" ref="L101:L103" si="71">+D101-H101</f>
        <v>384.1</v>
      </c>
      <c r="M101" s="1"/>
      <c r="N101" s="5">
        <f t="shared" ref="N101:N103" si="72">IF(H101=0,0,L101/H101)</f>
        <v>1.6138655462184874</v>
      </c>
      <c r="O101" s="14"/>
      <c r="P101" s="1">
        <f>SUM(OSRRefP22_18x_0)</f>
        <v>4058.17</v>
      </c>
      <c r="Q101" s="1"/>
      <c r="R101" s="5">
        <f t="shared" ref="R101:R103" si="73">IF(P$12=0,0,P101/P$12)</f>
        <v>3.3251698834166274E-2</v>
      </c>
      <c r="S101" s="1"/>
      <c r="T101" s="1">
        <f>SUM(OSRRefT22_18x_0)</f>
        <v>1668</v>
      </c>
      <c r="U101" s="1"/>
      <c r="V101" s="5">
        <f t="shared" ref="V101:V103" si="74">IF(T$12=0,0,T101/T$12)</f>
        <v>2.1609016712009328E-2</v>
      </c>
      <c r="W101" s="1"/>
      <c r="X101" s="1">
        <f t="shared" ref="X101:X103" si="75">+P101-T101</f>
        <v>2390.17</v>
      </c>
      <c r="Y101" s="1"/>
      <c r="Z101" s="5">
        <f t="shared" ref="Z101:Z103" si="76">IF(T101=0,0,X101/T101)</f>
        <v>1.4329556354916066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69"/>
        <v>0</v>
      </c>
      <c r="G102" s="2"/>
      <c r="H102" s="6">
        <v>138</v>
      </c>
      <c r="I102" s="2"/>
      <c r="J102" s="7">
        <f t="shared" si="70"/>
        <v>8.8043894347326779E-3</v>
      </c>
      <c r="K102" s="2"/>
      <c r="L102" s="6">
        <f t="shared" si="71"/>
        <v>-138</v>
      </c>
      <c r="M102" s="2"/>
      <c r="N102" s="7">
        <f t="shared" si="72"/>
        <v>-1</v>
      </c>
      <c r="O102" s="11"/>
      <c r="P102" s="6"/>
      <c r="Q102" s="2"/>
      <c r="R102" s="7">
        <f t="shared" si="73"/>
        <v>0</v>
      </c>
      <c r="S102" s="2"/>
      <c r="T102" s="6">
        <v>718</v>
      </c>
      <c r="U102" s="2"/>
      <c r="V102" s="7">
        <f t="shared" si="74"/>
        <v>9.3017230211167243E-3</v>
      </c>
      <c r="W102" s="2"/>
      <c r="X102" s="6">
        <f t="shared" si="75"/>
        <v>-718</v>
      </c>
      <c r="Y102" s="2"/>
      <c r="Z102" s="7">
        <f t="shared" si="76"/>
        <v>-1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6">
        <v>622.1</v>
      </c>
      <c r="E103" s="2"/>
      <c r="F103" s="7">
        <f t="shared" si="69"/>
        <v>9.6973434329531046E-3</v>
      </c>
      <c r="G103" s="2"/>
      <c r="H103" s="6">
        <v>100</v>
      </c>
      <c r="I103" s="2"/>
      <c r="J103" s="7">
        <f t="shared" si="70"/>
        <v>6.3799923440091876E-3</v>
      </c>
      <c r="K103" s="2"/>
      <c r="L103" s="6">
        <f t="shared" si="71"/>
        <v>522.1</v>
      </c>
      <c r="M103" s="2"/>
      <c r="N103" s="7">
        <f t="shared" si="72"/>
        <v>5.2210000000000001</v>
      </c>
      <c r="O103" s="11"/>
      <c r="P103" s="6">
        <v>4058.17</v>
      </c>
      <c r="Q103" s="2"/>
      <c r="R103" s="7">
        <f t="shared" si="73"/>
        <v>3.3251698834166274E-2</v>
      </c>
      <c r="S103" s="2"/>
      <c r="T103" s="6">
        <v>950</v>
      </c>
      <c r="U103" s="2"/>
      <c r="V103" s="7">
        <f t="shared" si="74"/>
        <v>1.2307293690892602E-2</v>
      </c>
      <c r="W103" s="2"/>
      <c r="X103" s="6">
        <f t="shared" si="75"/>
        <v>3108.17</v>
      </c>
      <c r="Y103" s="2"/>
      <c r="Z103" s="7">
        <f t="shared" si="76"/>
        <v>3.271757894736842</v>
      </c>
    </row>
    <row r="104" spans="1:26" s="29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SUM(OSRRefD22_19x_0)</f>
        <v>400</v>
      </c>
      <c r="E104" s="1"/>
      <c r="F104" s="5">
        <f t="shared" ref="F104:F109" si="77">IF(D$12=0,0,D104/D$12)</f>
        <v>6.2352312701836384E-3</v>
      </c>
      <c r="G104" s="1"/>
      <c r="H104" s="1">
        <f>SUM(OSRRefH22_19x_0)</f>
        <v>0</v>
      </c>
      <c r="I104" s="1"/>
      <c r="J104" s="5">
        <f t="shared" ref="J104:J109" si="78">IF(H$12=0,0,H104/H$12)</f>
        <v>0</v>
      </c>
      <c r="K104" s="1"/>
      <c r="L104" s="1">
        <f t="shared" ref="L104:L109" si="79">+D104-H104</f>
        <v>400</v>
      </c>
      <c r="M104" s="1"/>
      <c r="N104" s="5">
        <f t="shared" ref="N104:N109" si="80">IF(H104=0,0,L104/H104)</f>
        <v>0</v>
      </c>
      <c r="O104" s="14"/>
      <c r="P104" s="1">
        <f>SUM(OSRRefP22_19x_0)</f>
        <v>400</v>
      </c>
      <c r="Q104" s="1"/>
      <c r="R104" s="5">
        <f t="shared" ref="R104:R109" si="81">IF(P$12=0,0,P104/P$12)</f>
        <v>3.2775067416265236E-3</v>
      </c>
      <c r="S104" s="1"/>
      <c r="T104" s="1">
        <f>SUM(OSRRefT22_19x_0)</f>
        <v>0</v>
      </c>
      <c r="U104" s="1"/>
      <c r="V104" s="5">
        <f t="shared" ref="V104:V109" si="82">IF(T$12=0,0,T104/T$12)</f>
        <v>0</v>
      </c>
      <c r="W104" s="1"/>
      <c r="X104" s="1">
        <f t="shared" ref="X104:X109" si="83">+P104-T104</f>
        <v>400</v>
      </c>
      <c r="Y104" s="1"/>
      <c r="Z104" s="5">
        <f t="shared" ref="Z104:Z109" si="84">IF(T104=0,0,X104/T104)</f>
        <v>0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6">
        <v>400</v>
      </c>
      <c r="E105" s="2"/>
      <c r="F105" s="7">
        <f t="shared" si="77"/>
        <v>6.2352312701836384E-3</v>
      </c>
      <c r="G105" s="2"/>
      <c r="H105" s="6">
        <v>0</v>
      </c>
      <c r="I105" s="2"/>
      <c r="J105" s="7">
        <f t="shared" si="78"/>
        <v>0</v>
      </c>
      <c r="K105" s="2"/>
      <c r="L105" s="6">
        <f t="shared" si="79"/>
        <v>400</v>
      </c>
      <c r="M105" s="2"/>
      <c r="N105" s="7">
        <f t="shared" si="80"/>
        <v>0</v>
      </c>
      <c r="O105" s="11"/>
      <c r="P105" s="6">
        <v>400</v>
      </c>
      <c r="Q105" s="2"/>
      <c r="R105" s="7">
        <f t="shared" si="81"/>
        <v>3.2775067416265236E-3</v>
      </c>
      <c r="S105" s="2"/>
      <c r="T105" s="6">
        <v>0</v>
      </c>
      <c r="U105" s="2"/>
      <c r="V105" s="7">
        <f t="shared" si="82"/>
        <v>0</v>
      </c>
      <c r="W105" s="2"/>
      <c r="X105" s="6">
        <f t="shared" si="83"/>
        <v>400</v>
      </c>
      <c r="Y105" s="2"/>
      <c r="Z105" s="7">
        <f t="shared" si="84"/>
        <v>0</v>
      </c>
    </row>
    <row r="106" spans="1:26" s="29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SUM(OSRRefD22_20x_0)</f>
        <v>0</v>
      </c>
      <c r="E106" s="1"/>
      <c r="F106" s="5">
        <f t="shared" si="77"/>
        <v>0</v>
      </c>
      <c r="G106" s="1"/>
      <c r="H106" s="1">
        <f>SUM(OSRRefH22_20x_0)</f>
        <v>0</v>
      </c>
      <c r="I106" s="1"/>
      <c r="J106" s="5">
        <f t="shared" si="78"/>
        <v>0</v>
      </c>
      <c r="K106" s="1"/>
      <c r="L106" s="1">
        <f t="shared" si="79"/>
        <v>0</v>
      </c>
      <c r="M106" s="1"/>
      <c r="N106" s="5">
        <f t="shared" si="80"/>
        <v>0</v>
      </c>
      <c r="O106" s="14"/>
      <c r="P106" s="1">
        <f>SUM(OSRRefP22_20x_0)</f>
        <v>332.21</v>
      </c>
      <c r="Q106" s="1"/>
      <c r="R106" s="5">
        <f t="shared" si="81"/>
        <v>2.7220512865893682E-3</v>
      </c>
      <c r="S106" s="1"/>
      <c r="T106" s="1">
        <f>SUM(OSRRefT22_20x_0)</f>
        <v>0</v>
      </c>
      <c r="U106" s="1"/>
      <c r="V106" s="5">
        <f t="shared" si="82"/>
        <v>0</v>
      </c>
      <c r="W106" s="1"/>
      <c r="X106" s="1">
        <f t="shared" si="83"/>
        <v>332.21</v>
      </c>
      <c r="Y106" s="1"/>
      <c r="Z106" s="5">
        <f t="shared" si="84"/>
        <v>0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6"/>
      <c r="E107" s="2"/>
      <c r="F107" s="7">
        <f t="shared" si="77"/>
        <v>0</v>
      </c>
      <c r="G107" s="2"/>
      <c r="H107" s="6"/>
      <c r="I107" s="2"/>
      <c r="J107" s="7">
        <f t="shared" si="78"/>
        <v>0</v>
      </c>
      <c r="K107" s="2"/>
      <c r="L107" s="6">
        <f t="shared" si="79"/>
        <v>0</v>
      </c>
      <c r="M107" s="2"/>
      <c r="N107" s="7">
        <f t="shared" si="80"/>
        <v>0</v>
      </c>
      <c r="O107" s="11"/>
      <c r="P107" s="6"/>
      <c r="Q107" s="2"/>
      <c r="R107" s="7">
        <f t="shared" si="81"/>
        <v>0</v>
      </c>
      <c r="S107" s="2"/>
      <c r="T107" s="6">
        <v>0</v>
      </c>
      <c r="U107" s="2"/>
      <c r="V107" s="7">
        <f t="shared" si="82"/>
        <v>0</v>
      </c>
      <c r="W107" s="2"/>
      <c r="X107" s="6">
        <f t="shared" si="83"/>
        <v>0</v>
      </c>
      <c r="Y107" s="2"/>
      <c r="Z107" s="7">
        <f t="shared" si="84"/>
        <v>0</v>
      </c>
    </row>
    <row r="108" spans="1:26" s="24" customFormat="1" hidden="1" outlineLevel="2" x14ac:dyDescent="0.25">
      <c r="A108" s="28"/>
      <c r="B108" s="11" t="str">
        <f>CONCATENATE("          ", "6294", " - ", "TRAVEL OPERATIONAL")</f>
        <v xml:space="preserve">          6294 - TRAVEL OPERATIONAL</v>
      </c>
      <c r="C108" s="11"/>
      <c r="D108" s="6"/>
      <c r="E108" s="2"/>
      <c r="F108" s="7">
        <f t="shared" si="77"/>
        <v>0</v>
      </c>
      <c r="G108" s="2"/>
      <c r="H108" s="6"/>
      <c r="I108" s="2"/>
      <c r="J108" s="7">
        <f t="shared" si="78"/>
        <v>0</v>
      </c>
      <c r="K108" s="2"/>
      <c r="L108" s="6">
        <f t="shared" si="79"/>
        <v>0</v>
      </c>
      <c r="M108" s="2"/>
      <c r="N108" s="7">
        <f t="shared" si="80"/>
        <v>0</v>
      </c>
      <c r="O108" s="11"/>
      <c r="P108" s="6"/>
      <c r="Q108" s="2"/>
      <c r="R108" s="7">
        <f t="shared" si="81"/>
        <v>0</v>
      </c>
      <c r="S108" s="2"/>
      <c r="T108" s="6">
        <v>0</v>
      </c>
      <c r="U108" s="2"/>
      <c r="V108" s="7">
        <f t="shared" si="82"/>
        <v>0</v>
      </c>
      <c r="W108" s="2"/>
      <c r="X108" s="6">
        <f t="shared" si="83"/>
        <v>0</v>
      </c>
      <c r="Y108" s="2"/>
      <c r="Z108" s="7">
        <f t="shared" si="84"/>
        <v>0</v>
      </c>
    </row>
    <row r="109" spans="1:26" s="24" customFormat="1" hidden="1" outlineLevel="2" x14ac:dyDescent="0.25">
      <c r="A109" s="28"/>
      <c r="B109" s="11" t="str">
        <f>CONCATENATE("          ", "6298", " - ", "VEHICLE MILEAGE")</f>
        <v xml:space="preserve">          6298 - VEHICLE MILEAGE</v>
      </c>
      <c r="C109" s="11"/>
      <c r="D109" s="6"/>
      <c r="E109" s="2"/>
      <c r="F109" s="7">
        <f t="shared" si="77"/>
        <v>0</v>
      </c>
      <c r="G109" s="2"/>
      <c r="H109" s="6"/>
      <c r="I109" s="2"/>
      <c r="J109" s="7">
        <f t="shared" si="78"/>
        <v>0</v>
      </c>
      <c r="K109" s="2"/>
      <c r="L109" s="6">
        <f t="shared" si="79"/>
        <v>0</v>
      </c>
      <c r="M109" s="2"/>
      <c r="N109" s="7">
        <f t="shared" si="80"/>
        <v>0</v>
      </c>
      <c r="O109" s="11"/>
      <c r="P109" s="6">
        <v>332.21</v>
      </c>
      <c r="Q109" s="2"/>
      <c r="R109" s="7">
        <f t="shared" si="81"/>
        <v>2.7220512865893682E-3</v>
      </c>
      <c r="S109" s="2"/>
      <c r="T109" s="6"/>
      <c r="U109" s="2"/>
      <c r="V109" s="7">
        <f t="shared" si="82"/>
        <v>0</v>
      </c>
      <c r="W109" s="2"/>
      <c r="X109" s="6">
        <f t="shared" si="83"/>
        <v>332.21</v>
      </c>
      <c r="Y109" s="2"/>
      <c r="Z109" s="7">
        <f t="shared" si="84"/>
        <v>0</v>
      </c>
    </row>
    <row r="110" spans="1:26" s="29" customFormat="1" outlineLevel="1" collapsed="1" x14ac:dyDescent="0.25">
      <c r="A110" s="27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SUM(OSRRefD22_21x_0)</f>
        <v>3660</v>
      </c>
      <c r="E110" s="1"/>
      <c r="F110" s="5">
        <f t="shared" ref="F110:F111" si="85">IF(D$12=0,0,D110/D$12)</f>
        <v>5.7052366122180294E-2</v>
      </c>
      <c r="G110" s="1"/>
      <c r="H110" s="1">
        <f>SUM(OSRRefH22_21x_0)</f>
        <v>3300</v>
      </c>
      <c r="I110" s="1"/>
      <c r="J110" s="5">
        <f t="shared" ref="J110:J111" si="86">IF(H$12=0,0,H110/H$12)</f>
        <v>0.21053974735230319</v>
      </c>
      <c r="K110" s="1"/>
      <c r="L110" s="1">
        <f t="shared" ref="L110:L111" si="87">+D110-H110</f>
        <v>360</v>
      </c>
      <c r="M110" s="1"/>
      <c r="N110" s="5">
        <f t="shared" ref="N110:N111" si="88">IF(H110=0,0,L110/H110)</f>
        <v>0.10909090909090909</v>
      </c>
      <c r="O110" s="14"/>
      <c r="P110" s="1">
        <f>SUM(OSRRefP22_21x_0)</f>
        <v>-2668</v>
      </c>
      <c r="Q110" s="1"/>
      <c r="R110" s="5">
        <f t="shared" ref="R110:R111" si="89">IF(P$12=0,0,P110/P$12)</f>
        <v>-2.1860969966648911E-2</v>
      </c>
      <c r="S110" s="1"/>
      <c r="T110" s="1">
        <f>SUM(OSRRefT22_21x_0)</f>
        <v>16500</v>
      </c>
      <c r="U110" s="1"/>
      <c r="V110" s="5">
        <f t="shared" ref="V110:V111" si="90">IF(T$12=0,0,T110/T$12)</f>
        <v>0.2137582588418189</v>
      </c>
      <c r="W110" s="1"/>
      <c r="X110" s="1">
        <f t="shared" ref="X110:X111" si="91">+P110-T110</f>
        <v>-19168</v>
      </c>
      <c r="Y110" s="1"/>
      <c r="Z110" s="5">
        <f t="shared" ref="Z110:Z111" si="92">IF(T110=0,0,X110/T110)</f>
        <v>-1.1616969696969697</v>
      </c>
    </row>
    <row r="111" spans="1:26" s="24" customFormat="1" hidden="1" outlineLevel="2" x14ac:dyDescent="0.25">
      <c r="A111" s="28"/>
      <c r="B111" s="11" t="str">
        <f>CONCATENATE("          ", "6274", " - ", "UTILITIES")</f>
        <v xml:space="preserve">          6274 - UTILITIES</v>
      </c>
      <c r="C111" s="11"/>
      <c r="D111" s="6">
        <v>3660</v>
      </c>
      <c r="E111" s="2"/>
      <c r="F111" s="7">
        <f t="shared" si="85"/>
        <v>5.7052366122180294E-2</v>
      </c>
      <c r="G111" s="2"/>
      <c r="H111" s="6">
        <v>3300</v>
      </c>
      <c r="I111" s="2"/>
      <c r="J111" s="7">
        <f t="shared" si="86"/>
        <v>0.21053974735230319</v>
      </c>
      <c r="K111" s="2"/>
      <c r="L111" s="6">
        <f t="shared" si="87"/>
        <v>360</v>
      </c>
      <c r="M111" s="2"/>
      <c r="N111" s="7">
        <f t="shared" si="88"/>
        <v>0.10909090909090909</v>
      </c>
      <c r="O111" s="11"/>
      <c r="P111" s="6">
        <v>-2668</v>
      </c>
      <c r="Q111" s="2"/>
      <c r="R111" s="7">
        <f t="shared" si="89"/>
        <v>-2.1860969966648911E-2</v>
      </c>
      <c r="S111" s="2"/>
      <c r="T111" s="6">
        <v>16500</v>
      </c>
      <c r="U111" s="2"/>
      <c r="V111" s="7">
        <f t="shared" si="90"/>
        <v>0.2137582588418189</v>
      </c>
      <c r="W111" s="2"/>
      <c r="X111" s="6">
        <f t="shared" si="91"/>
        <v>-19168</v>
      </c>
      <c r="Y111" s="2"/>
      <c r="Z111" s="7">
        <f t="shared" si="92"/>
        <v>-1.1616969696969697</v>
      </c>
    </row>
    <row r="112" spans="1:26" s="62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6" t="s">
        <v>0</v>
      </c>
      <c r="C113" s="10"/>
      <c r="D113" s="4">
        <f>SUM(OSRRefD25x_0)</f>
        <v>173.47</v>
      </c>
      <c r="E113" s="4"/>
      <c r="F113" s="12">
        <f t="shared" ref="F113:F117" si="93">IF(D$12=0,0,D113/D$12)</f>
        <v>2.7040639210968893E-3</v>
      </c>
      <c r="G113" s="4"/>
      <c r="H113" s="4">
        <f>SUM(OSRRefH25x_0)</f>
        <v>6378</v>
      </c>
      <c r="I113" s="4"/>
      <c r="J113" s="12">
        <f t="shared" ref="J113:J117" si="94">IF(H$12=0,0,H113/H$12)</f>
        <v>0.40691591170090596</v>
      </c>
      <c r="K113" s="4"/>
      <c r="L113" s="4">
        <f t="shared" ref="L113:L117" si="95">+D113-H113</f>
        <v>-6204.53</v>
      </c>
      <c r="M113" s="4"/>
      <c r="N113" s="12">
        <f t="shared" ref="N113:N117" si="96">IF(H113=0,0,L113/H113)</f>
        <v>-0.97280181875195981</v>
      </c>
      <c r="O113" s="10"/>
      <c r="P113" s="4">
        <f>SUM(OSRRefP25x_0)</f>
        <v>4250.67</v>
      </c>
      <c r="Q113" s="4"/>
      <c r="R113" s="12">
        <f t="shared" ref="R113:R117" si="97">IF(P$12=0,0,P113/P$12)</f>
        <v>3.4828998953574039E-2</v>
      </c>
      <c r="S113" s="4"/>
      <c r="T113" s="4">
        <f>SUM(OSRRefT25x_0)</f>
        <v>19350</v>
      </c>
      <c r="U113" s="4"/>
      <c r="V113" s="12">
        <f t="shared" ref="V113:V117" si="98">IF(T$12=0,0,T113/T$12)</f>
        <v>0.25068013991449667</v>
      </c>
      <c r="W113" s="4"/>
      <c r="X113" s="4">
        <f t="shared" ref="X113:X117" si="99">+P113-T113</f>
        <v>-15099.33</v>
      </c>
      <c r="Y113" s="4"/>
      <c r="Z113" s="12">
        <f t="shared" ref="Z113:Z117" si="100">IF(T113=0,0,X113/T113)</f>
        <v>-0.78032713178294577</v>
      </c>
    </row>
    <row r="114" spans="1:26" s="24" customFormat="1" hidden="1" outlineLevel="1" x14ac:dyDescent="0.25">
      <c r="A114" s="51"/>
      <c r="B114" s="11" t="str">
        <f>CONCATENATE("          ", "9150", " - ", "MISC. INCOME")</f>
        <v xml:space="preserve">          9150 - MISC. INCOME</v>
      </c>
      <c r="C114" s="11"/>
      <c r="D114" s="2">
        <f t="shared" ref="D114:D116" si="101">0</f>
        <v>0</v>
      </c>
      <c r="E114" s="2"/>
      <c r="F114" s="22">
        <f t="shared" si="93"/>
        <v>0</v>
      </c>
      <c r="G114" s="2"/>
      <c r="H114" s="2">
        <v>3780</v>
      </c>
      <c r="I114" s="2"/>
      <c r="J114" s="22">
        <f t="shared" si="94"/>
        <v>0.24116371060354727</v>
      </c>
      <c r="K114" s="2"/>
      <c r="L114" s="2">
        <f t="shared" si="95"/>
        <v>-3780</v>
      </c>
      <c r="M114" s="2"/>
      <c r="N114" s="22">
        <f t="shared" si="96"/>
        <v>-1</v>
      </c>
      <c r="O114" s="11"/>
      <c r="P114" s="2">
        <f>--923.77</f>
        <v>923.77</v>
      </c>
      <c r="Q114" s="2"/>
      <c r="R114" s="22">
        <f t="shared" si="97"/>
        <v>7.5691560067808342E-3</v>
      </c>
      <c r="S114" s="2"/>
      <c r="T114" s="2">
        <v>9186</v>
      </c>
      <c r="U114" s="2"/>
      <c r="V114" s="22">
        <f t="shared" si="98"/>
        <v>0.11900505246793626</v>
      </c>
      <c r="W114" s="2"/>
      <c r="X114" s="2">
        <f t="shared" si="99"/>
        <v>-8262.23</v>
      </c>
      <c r="Y114" s="2"/>
      <c r="Z114" s="22">
        <f t="shared" si="100"/>
        <v>-0.89943718702373177</v>
      </c>
    </row>
    <row r="115" spans="1:26" s="24" customFormat="1" hidden="1" outlineLevel="1" x14ac:dyDescent="0.25">
      <c r="A115" s="51"/>
      <c r="B115" s="11" t="str">
        <f>CONCATENATE("          ", "9151", " - ", "MISC. INCOME")</f>
        <v xml:space="preserve">          9151 - MISC. INCOME</v>
      </c>
      <c r="C115" s="11"/>
      <c r="D115" s="2">
        <f t="shared" si="101"/>
        <v>0</v>
      </c>
      <c r="E115" s="2"/>
      <c r="F115" s="22">
        <f t="shared" si="93"/>
        <v>0</v>
      </c>
      <c r="G115" s="2"/>
      <c r="H115" s="2">
        <v>1408</v>
      </c>
      <c r="I115" s="2"/>
      <c r="J115" s="22">
        <f t="shared" si="94"/>
        <v>8.9830292203649353E-2</v>
      </c>
      <c r="K115" s="2"/>
      <c r="L115" s="2">
        <f t="shared" si="95"/>
        <v>-1408</v>
      </c>
      <c r="M115" s="2"/>
      <c r="N115" s="22">
        <f t="shared" si="96"/>
        <v>-1</v>
      </c>
      <c r="O115" s="11"/>
      <c r="P115" s="2">
        <f>0</f>
        <v>0</v>
      </c>
      <c r="Q115" s="2"/>
      <c r="R115" s="22">
        <f t="shared" si="97"/>
        <v>0</v>
      </c>
      <c r="S115" s="2"/>
      <c r="T115" s="2">
        <v>8418</v>
      </c>
      <c r="U115" s="2"/>
      <c r="V115" s="22">
        <f t="shared" si="98"/>
        <v>0.10905557714729887</v>
      </c>
      <c r="W115" s="2"/>
      <c r="X115" s="2">
        <f t="shared" si="99"/>
        <v>-8418</v>
      </c>
      <c r="Y115" s="2"/>
      <c r="Z115" s="22">
        <f t="shared" si="100"/>
        <v>-1</v>
      </c>
    </row>
    <row r="116" spans="1:26" s="24" customFormat="1" hidden="1" outlineLevel="1" x14ac:dyDescent="0.25">
      <c r="A116" s="51"/>
      <c r="B116" s="11" t="str">
        <f>CONCATENATE("          ", "9160", " - ", "MISC. INCOME")</f>
        <v xml:space="preserve">          9160 - MISC. INCOME</v>
      </c>
      <c r="C116" s="11"/>
      <c r="D116" s="2">
        <f t="shared" si="101"/>
        <v>0</v>
      </c>
      <c r="E116" s="2"/>
      <c r="F116" s="22">
        <f t="shared" si="93"/>
        <v>0</v>
      </c>
      <c r="G116" s="2"/>
      <c r="H116" s="2">
        <v>1190</v>
      </c>
      <c r="I116" s="2"/>
      <c r="J116" s="22">
        <f t="shared" si="94"/>
        <v>7.5921908893709325E-2</v>
      </c>
      <c r="K116" s="2"/>
      <c r="L116" s="2">
        <f t="shared" si="95"/>
        <v>-1190</v>
      </c>
      <c r="M116" s="2"/>
      <c r="N116" s="22">
        <f t="shared" si="96"/>
        <v>-1</v>
      </c>
      <c r="O116" s="11"/>
      <c r="P116" s="2">
        <f>--2328.25</f>
        <v>2328.25</v>
      </c>
      <c r="Q116" s="2"/>
      <c r="R116" s="22">
        <f t="shared" si="97"/>
        <v>1.9077137677979885E-2</v>
      </c>
      <c r="S116" s="2"/>
      <c r="T116" s="2">
        <v>1746</v>
      </c>
      <c r="U116" s="2"/>
      <c r="V116" s="22">
        <f t="shared" si="98"/>
        <v>2.2619510299261562E-2</v>
      </c>
      <c r="W116" s="2"/>
      <c r="X116" s="2">
        <f t="shared" si="99"/>
        <v>582.25</v>
      </c>
      <c r="Y116" s="2"/>
      <c r="Z116" s="22">
        <f t="shared" si="100"/>
        <v>0.33347651775486825</v>
      </c>
    </row>
    <row r="117" spans="1:26" s="24" customFormat="1" hidden="1" outlineLevel="1" x14ac:dyDescent="0.25">
      <c r="A117" s="51"/>
      <c r="B117" s="11" t="str">
        <f>CONCATENATE("          ", "9165", " - ", "OTHER INCOME")</f>
        <v xml:space="preserve">          9165 - OTHER INCOME</v>
      </c>
      <c r="C117" s="11"/>
      <c r="D117" s="2">
        <f>--173.47</f>
        <v>173.47</v>
      </c>
      <c r="E117" s="2"/>
      <c r="F117" s="22">
        <f t="shared" si="93"/>
        <v>2.7040639210968893E-3</v>
      </c>
      <c r="G117" s="2"/>
      <c r="H117" s="2"/>
      <c r="I117" s="2"/>
      <c r="J117" s="22">
        <f t="shared" si="94"/>
        <v>0</v>
      </c>
      <c r="K117" s="2"/>
      <c r="L117" s="2">
        <f t="shared" si="95"/>
        <v>173.47</v>
      </c>
      <c r="M117" s="2"/>
      <c r="N117" s="22">
        <f t="shared" si="96"/>
        <v>0</v>
      </c>
      <c r="O117" s="11"/>
      <c r="P117" s="2">
        <f>--998.65</f>
        <v>998.65</v>
      </c>
      <c r="Q117" s="2"/>
      <c r="R117" s="22">
        <f t="shared" si="97"/>
        <v>8.182705268813319E-3</v>
      </c>
      <c r="S117" s="2"/>
      <c r="T117" s="2"/>
      <c r="U117" s="2"/>
      <c r="V117" s="22">
        <f t="shared" si="98"/>
        <v>0</v>
      </c>
      <c r="W117" s="2"/>
      <c r="X117" s="2">
        <f t="shared" si="99"/>
        <v>998.65</v>
      </c>
      <c r="Y117" s="2"/>
      <c r="Z117" s="22">
        <f t="shared" si="100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5" t="s">
        <v>3</v>
      </c>
      <c r="C119" s="25"/>
      <c r="D119" s="21">
        <f>+D25-D27+D113</f>
        <v>-50395.870000000017</v>
      </c>
      <c r="E119" s="13"/>
      <c r="F119" s="20">
        <f>IF(D$12=0,0,D119/D$12)</f>
        <v>-0.78557476128027415</v>
      </c>
      <c r="G119" s="13"/>
      <c r="H119" s="21">
        <f>+H25-H27+H113</f>
        <v>-88136.249366117947</v>
      </c>
      <c r="I119" s="13"/>
      <c r="J119" s="20">
        <f>IF(H$12=0,0,H119/H$12)</f>
        <v>-5.6230859618551712</v>
      </c>
      <c r="K119" s="16"/>
      <c r="L119" s="21">
        <f>+D119-H119</f>
        <v>37740.37936611793</v>
      </c>
      <c r="M119" s="16"/>
      <c r="N119" s="20">
        <f>IF(H119=0,0,L119/H119)</f>
        <v>-0.42820496262944441</v>
      </c>
      <c r="O119" s="26"/>
      <c r="P119" s="21">
        <f>+P25-P27+P113</f>
        <v>-447594.77000000008</v>
      </c>
      <c r="Q119" s="13"/>
      <c r="R119" s="20">
        <f>IF(P$12=0,0,P119/P$12)</f>
        <v>-3.6674871904794339</v>
      </c>
      <c r="S119" s="13"/>
      <c r="T119" s="21">
        <f>+T25-T27+T113</f>
        <v>-475316.79625005904</v>
      </c>
      <c r="U119" s="13"/>
      <c r="V119" s="20">
        <f>IF(T$12=0,0,T119/T$12)</f>
        <v>-6.1577509554354064</v>
      </c>
      <c r="W119" s="16"/>
      <c r="X119" s="21">
        <f>+P119-T119</f>
        <v>27722.02625005896</v>
      </c>
      <c r="Y119" s="16"/>
      <c r="Z119" s="20">
        <f>IF(T119=0,0,X119/T119)</f>
        <v>-5.8323262440477065E-2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14</v>
      </c>
      <c r="C121" s="10"/>
      <c r="D121" s="4">
        <v>6852.04</v>
      </c>
      <c r="E121" s="4"/>
      <c r="F121" s="12">
        <f>IF(D$12=0,0,D121/D$12)</f>
        <v>0.10681013518137275</v>
      </c>
      <c r="G121" s="4"/>
      <c r="H121" s="4">
        <v>3695</v>
      </c>
      <c r="I121" s="4"/>
      <c r="J121" s="12">
        <f>IF(H$12=0,0,H121/H$12)</f>
        <v>0.23574071711113948</v>
      </c>
      <c r="K121" s="4"/>
      <c r="L121" s="4">
        <f>+D121-H121</f>
        <v>3157.04</v>
      </c>
      <c r="M121" s="4"/>
      <c r="N121" s="12">
        <f>IF(H121=0,0,L121/H121)</f>
        <v>0.85440866035182683</v>
      </c>
      <c r="O121" s="10"/>
      <c r="P121" s="4">
        <v>19392.79</v>
      </c>
      <c r="Q121" s="4"/>
      <c r="R121" s="12">
        <f>IF(P$12=0,0,P121/P$12)</f>
        <v>0.15889999990986858</v>
      </c>
      <c r="S121" s="4"/>
      <c r="T121" s="4">
        <v>13767</v>
      </c>
      <c r="U121" s="4"/>
      <c r="V121" s="12">
        <f>IF(T$12=0,0,T121/T$12)</f>
        <v>0.17835211815001945</v>
      </c>
      <c r="W121" s="4"/>
      <c r="X121" s="4">
        <f>+P121-T121</f>
        <v>5625.7900000000009</v>
      </c>
      <c r="Y121" s="4"/>
      <c r="Z121" s="12">
        <f>IF(T121=0,0,X121/T121)</f>
        <v>0.40864313212755143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5" t="s">
        <v>4</v>
      </c>
      <c r="C123" s="25"/>
      <c r="D123" s="31">
        <f>+D119-D121</f>
        <v>-57247.910000000018</v>
      </c>
      <c r="E123" s="13"/>
      <c r="F123" s="34">
        <f>IF(D$12=0,0,D123/D$12)</f>
        <v>-0.89238489646164687</v>
      </c>
      <c r="G123" s="13"/>
      <c r="H123" s="31">
        <f>+H119-H121</f>
        <v>-91831.249366117947</v>
      </c>
      <c r="I123" s="13"/>
      <c r="J123" s="34">
        <f>IF(H$12=0,0,H123/H$12)</f>
        <v>-5.8588266789663104</v>
      </c>
      <c r="K123" s="16"/>
      <c r="L123" s="31">
        <f>D123-H123</f>
        <v>34583.339366117929</v>
      </c>
      <c r="M123" s="16"/>
      <c r="N123" s="34">
        <f>IF(H123=0,0,L123/H123)</f>
        <v>-0.37659663355160444</v>
      </c>
      <c r="O123" s="26"/>
      <c r="P123" s="31">
        <f>+P119-P121</f>
        <v>-466987.56000000006</v>
      </c>
      <c r="Q123" s="13"/>
      <c r="R123" s="34">
        <f>IF(P$12=0,0,P123/P$12)</f>
        <v>-3.8263871903893021</v>
      </c>
      <c r="S123" s="13"/>
      <c r="T123" s="31">
        <f>+T119-T121</f>
        <v>-489083.79625005904</v>
      </c>
      <c r="U123" s="13"/>
      <c r="V123" s="34">
        <f>IF(T$12=0,0,T123/T$12)</f>
        <v>-6.3361030735854262</v>
      </c>
      <c r="W123" s="16"/>
      <c r="X123" s="31">
        <f>P123-T123</f>
        <v>22096.236250058981</v>
      </c>
      <c r="Y123" s="16"/>
      <c r="Z123" s="34">
        <f>IF(T123=0,0,X123/T123)</f>
        <v>-4.5178835241479975E-2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5" t="s">
        <v>5</v>
      </c>
      <c r="C126" s="25"/>
      <c r="D126" s="33">
        <f>SUM(D123:D125)</f>
        <v>-57247.910000000018</v>
      </c>
      <c r="E126" s="13"/>
      <c r="F126" s="30">
        <f>IF(D$12=0,0,D126/D$12)</f>
        <v>-0.89238489646164687</v>
      </c>
      <c r="G126" s="13"/>
      <c r="H126" s="33">
        <f>SUM(H123:H125)</f>
        <v>-91831.249366117947</v>
      </c>
      <c r="I126" s="13"/>
      <c r="J126" s="30">
        <f>IF(H$12=0,0,H126/H$12)</f>
        <v>-5.8588266789663104</v>
      </c>
      <c r="K126" s="16"/>
      <c r="L126" s="33">
        <f>+D126-H126</f>
        <v>34583.339366117929</v>
      </c>
      <c r="M126" s="16"/>
      <c r="N126" s="30">
        <f>IF(H126=0,0,L126/H126)</f>
        <v>-0.37659663355160444</v>
      </c>
      <c r="O126" s="26"/>
      <c r="P126" s="33">
        <f>SUM(P123:P125)</f>
        <v>-466987.56000000006</v>
      </c>
      <c r="Q126" s="13"/>
      <c r="R126" s="30">
        <f>IF(P$12=0,0,P126/P$12)</f>
        <v>-3.8263871903893021</v>
      </c>
      <c r="S126" s="13"/>
      <c r="T126" s="33">
        <f>SUM(T123:T125)</f>
        <v>-489083.79625005904</v>
      </c>
      <c r="U126" s="13"/>
      <c r="V126" s="30">
        <f>IF(T$12=0,0,T126/T$12)</f>
        <v>-6.3361030735854262</v>
      </c>
      <c r="W126" s="16"/>
      <c r="X126" s="33">
        <f>+P126-T126</f>
        <v>22096.236250058981</v>
      </c>
      <c r="Y126" s="16"/>
      <c r="Z126" s="30">
        <f>IF(T126=0,0,X126/T126)</f>
        <v>-4.5178835241479975E-2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5">
        <v>44174.67922445602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7" t="s">
        <v>314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3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5768.84</v>
      </c>
      <c r="E21" s="19"/>
      <c r="F21" s="35">
        <f t="shared" ref="F21:F30" si="14">IF(D$12=0,0,D21/D$12)</f>
        <v>0</v>
      </c>
      <c r="G21" s="19"/>
      <c r="H21" s="19">
        <f>SUM(OSRRefH22x_0)</f>
        <v>7384.333333333333</v>
      </c>
      <c r="I21" s="19"/>
      <c r="J21" s="35">
        <f t="shared" ref="J21:J30" si="15">IF(H$12=0,0,H21/H$12)</f>
        <v>0</v>
      </c>
      <c r="K21" s="4"/>
      <c r="L21" s="19">
        <f t="shared" ref="L21:L30" si="16">+D21-H21</f>
        <v>-1615.4933333333329</v>
      </c>
      <c r="M21" s="4"/>
      <c r="N21" s="35">
        <f t="shared" ref="N21:N30" si="17">IF(H21=0,0,L21/H21)</f>
        <v>-0.21877307813840108</v>
      </c>
      <c r="O21" s="10"/>
      <c r="P21" s="19">
        <f>SUM(OSRRefP22x_0)</f>
        <v>33871.68</v>
      </c>
      <c r="Q21" s="19"/>
      <c r="R21" s="35">
        <f t="shared" ref="R21:R30" si="18">IF(P$12=0,0,P21/P$12)</f>
        <v>0</v>
      </c>
      <c r="S21" s="19"/>
      <c r="T21" s="19">
        <f>SUM(OSRRefT22x_0)</f>
        <v>37212.666666666664</v>
      </c>
      <c r="U21" s="19"/>
      <c r="V21" s="35">
        <f t="shared" ref="V21:V30" si="19">IF(T$12=0,0,T21/T$12)</f>
        <v>0</v>
      </c>
      <c r="W21" s="4"/>
      <c r="X21" s="19">
        <f t="shared" ref="X21:X30" si="20">+P21-T21</f>
        <v>-3340.986666666664</v>
      </c>
      <c r="Y21" s="4"/>
      <c r="Z21" s="35">
        <f t="shared" ref="Z21:Z30" si="21">IF(T21=0,0,X21/T21)</f>
        <v>-8.9780898977050758E-2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0.83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0.83</v>
      </c>
      <c r="M22" s="1"/>
      <c r="N22" s="5">
        <f t="shared" si="17"/>
        <v>0</v>
      </c>
      <c r="O22" s="14"/>
      <c r="P22" s="1">
        <f>SUM(OSRRefP22_0x_0)</f>
        <v>0.83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0.83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>
        <v>0.83</v>
      </c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0.83</v>
      </c>
      <c r="M23" s="2"/>
      <c r="N23" s="7">
        <f t="shared" si="17"/>
        <v>0</v>
      </c>
      <c r="O23" s="11"/>
      <c r="P23" s="6">
        <v>0.83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0.83</v>
      </c>
      <c r="Y23" s="2"/>
      <c r="Z23" s="7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0</v>
      </c>
      <c r="Y25" s="2"/>
      <c r="Z25" s="7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9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9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5233.01</v>
      </c>
      <c r="E46" s="1"/>
      <c r="F46" s="5">
        <f t="shared" si="30"/>
        <v>0</v>
      </c>
      <c r="G46" s="1"/>
      <c r="H46" s="1">
        <f>SUM(OSRRefH22_4x_0)</f>
        <v>5233</v>
      </c>
      <c r="I46" s="1"/>
      <c r="J46" s="5">
        <f t="shared" si="31"/>
        <v>0</v>
      </c>
      <c r="K46" s="1"/>
      <c r="L46" s="1">
        <f t="shared" si="32"/>
        <v>1.0000000000218279E-2</v>
      </c>
      <c r="M46" s="1"/>
      <c r="N46" s="5">
        <f t="shared" si="33"/>
        <v>1.910949742063497E-6</v>
      </c>
      <c r="O46" s="14"/>
      <c r="P46" s="1">
        <f>SUM(OSRRefP22_4x_0)</f>
        <v>26456.17</v>
      </c>
      <c r="Q46" s="1"/>
      <c r="R46" s="5">
        <f t="shared" si="34"/>
        <v>0</v>
      </c>
      <c r="S46" s="1"/>
      <c r="T46" s="1">
        <f>SUM(OSRRefT22_4x_0)</f>
        <v>26456</v>
      </c>
      <c r="U46" s="1"/>
      <c r="V46" s="5">
        <f t="shared" si="35"/>
        <v>0</v>
      </c>
      <c r="W46" s="1"/>
      <c r="X46" s="1">
        <f t="shared" si="36"/>
        <v>0.16999999999825377</v>
      </c>
      <c r="Y46" s="1"/>
      <c r="Z46" s="5">
        <f t="shared" si="37"/>
        <v>6.425763531836021E-6</v>
      </c>
    </row>
    <row r="47" spans="1:26" s="24" customFormat="1" hidden="1" outlineLevel="2" x14ac:dyDescent="0.25">
      <c r="A47" s="28"/>
      <c r="B47" s="11" t="str">
        <f>CONCATENATE("          ", "6321", " - ", "BUILDING DEPRECIATION")</f>
        <v xml:space="preserve">          6321 - BUILDING DEPRECIATION</v>
      </c>
      <c r="C47" s="11"/>
      <c r="D47" s="6">
        <v>4626.5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4626.5</v>
      </c>
      <c r="M47" s="2"/>
      <c r="N47" s="7">
        <f t="shared" si="33"/>
        <v>0</v>
      </c>
      <c r="O47" s="11"/>
      <c r="P47" s="6">
        <v>23132.5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23132.5</v>
      </c>
      <c r="Y47" s="2"/>
      <c r="Z47" s="7">
        <f t="shared" si="37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606.51</v>
      </c>
      <c r="E48" s="2"/>
      <c r="F48" s="7">
        <f t="shared" si="30"/>
        <v>0</v>
      </c>
      <c r="G48" s="2"/>
      <c r="H48" s="6">
        <v>5233</v>
      </c>
      <c r="I48" s="2"/>
      <c r="J48" s="7">
        <f t="shared" si="31"/>
        <v>0</v>
      </c>
      <c r="K48" s="2"/>
      <c r="L48" s="6">
        <f t="shared" si="32"/>
        <v>-4626.49</v>
      </c>
      <c r="M48" s="2"/>
      <c r="N48" s="7">
        <f t="shared" si="33"/>
        <v>-0.88409898719663671</v>
      </c>
      <c r="O48" s="11"/>
      <c r="P48" s="6">
        <v>3323.67</v>
      </c>
      <c r="Q48" s="2"/>
      <c r="R48" s="7">
        <f t="shared" si="34"/>
        <v>0</v>
      </c>
      <c r="S48" s="2"/>
      <c r="T48" s="6">
        <v>26456</v>
      </c>
      <c r="U48" s="2"/>
      <c r="V48" s="7">
        <f t="shared" si="35"/>
        <v>0</v>
      </c>
      <c r="W48" s="2"/>
      <c r="X48" s="6">
        <f t="shared" si="36"/>
        <v>-23132.33</v>
      </c>
      <c r="Y48" s="2"/>
      <c r="Z48" s="7">
        <f t="shared" si="37"/>
        <v>-0.87436989718778357</v>
      </c>
    </row>
    <row r="49" spans="1:26" s="29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0</v>
      </c>
      <c r="E49" s="1"/>
      <c r="F49" s="5">
        <f t="shared" ref="F49:F57" si="38">IF(D$12=0,0,D49/D$12)</f>
        <v>0</v>
      </c>
      <c r="G49" s="1"/>
      <c r="H49" s="1">
        <f>SUM(OSRRefH22_5x_0)</f>
        <v>208.333333333333</v>
      </c>
      <c r="I49" s="1"/>
      <c r="J49" s="5">
        <f t="shared" ref="J49:J57" si="39">IF(H$12=0,0,H49/H$12)</f>
        <v>0</v>
      </c>
      <c r="K49" s="1"/>
      <c r="L49" s="1">
        <f t="shared" ref="L49:L57" si="40">+D49-H49</f>
        <v>-208.333333333333</v>
      </c>
      <c r="M49" s="1"/>
      <c r="N49" s="5">
        <f t="shared" ref="N49:N57" si="41">IF(H49=0,0,L49/H49)</f>
        <v>-1</v>
      </c>
      <c r="O49" s="14"/>
      <c r="P49" s="1">
        <f>SUM(OSRRefP22_5x_0)</f>
        <v>96.3</v>
      </c>
      <c r="Q49" s="1"/>
      <c r="R49" s="5">
        <f t="shared" ref="R49:R57" si="42">IF(P$12=0,0,P49/P$12)</f>
        <v>0</v>
      </c>
      <c r="S49" s="1"/>
      <c r="T49" s="1">
        <f>SUM(OSRRefT22_5x_0)</f>
        <v>1041.6666666666649</v>
      </c>
      <c r="U49" s="1"/>
      <c r="V49" s="5">
        <f t="shared" ref="V49:V57" si="43">IF(T$12=0,0,T49/T$12)</f>
        <v>0</v>
      </c>
      <c r="W49" s="1"/>
      <c r="X49" s="1">
        <f t="shared" ref="X49:X57" si="44">+P49-T49</f>
        <v>-945.36666666666497</v>
      </c>
      <c r="Y49" s="1"/>
      <c r="Z49" s="5">
        <f t="shared" ref="Z49:Z57" si="45">IF(T49=0,0,X49/T49)</f>
        <v>-0.90755199999999991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8"/>
        <v>0</v>
      </c>
      <c r="G50" s="2"/>
      <c r="H50" s="6">
        <v>208.333333333333</v>
      </c>
      <c r="I50" s="2"/>
      <c r="J50" s="7">
        <f t="shared" si="39"/>
        <v>0</v>
      </c>
      <c r="K50" s="2"/>
      <c r="L50" s="6">
        <f t="shared" si="40"/>
        <v>-208.333333333333</v>
      </c>
      <c r="M50" s="2"/>
      <c r="N50" s="7">
        <f t="shared" si="41"/>
        <v>-1</v>
      </c>
      <c r="O50" s="11"/>
      <c r="P50" s="6">
        <v>96.3</v>
      </c>
      <c r="Q50" s="2"/>
      <c r="R50" s="7">
        <f t="shared" si="42"/>
        <v>0</v>
      </c>
      <c r="S50" s="2"/>
      <c r="T50" s="6">
        <v>1041.6666666666649</v>
      </c>
      <c r="U50" s="2"/>
      <c r="V50" s="7">
        <f t="shared" si="43"/>
        <v>0</v>
      </c>
      <c r="W50" s="2"/>
      <c r="X50" s="6">
        <f t="shared" si="44"/>
        <v>-945.36666666666497</v>
      </c>
      <c r="Y50" s="2"/>
      <c r="Z50" s="7">
        <f t="shared" si="45"/>
        <v>-0.90755199999999991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0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0</v>
      </c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0</v>
      </c>
      <c r="Q52" s="2"/>
      <c r="R52" s="7">
        <f t="shared" si="42"/>
        <v>0</v>
      </c>
      <c r="S52" s="2"/>
      <c r="T52" s="6">
        <v>0</v>
      </c>
      <c r="U52" s="2"/>
      <c r="V52" s="7">
        <f t="shared" si="43"/>
        <v>0</v>
      </c>
      <c r="W52" s="2"/>
      <c r="X52" s="6">
        <f t="shared" si="44"/>
        <v>0</v>
      </c>
      <c r="Y52" s="2"/>
      <c r="Z52" s="7">
        <f t="shared" si="45"/>
        <v>0</v>
      </c>
    </row>
    <row r="53" spans="1:26" s="29" customFormat="1" outlineLevel="1" collapsed="1" x14ac:dyDescent="0.25">
      <c r="A53" s="27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1943</v>
      </c>
      <c r="I53" s="1"/>
      <c r="J53" s="5">
        <f t="shared" si="39"/>
        <v>0</v>
      </c>
      <c r="K53" s="1"/>
      <c r="L53" s="1">
        <f t="shared" si="40"/>
        <v>-1943</v>
      </c>
      <c r="M53" s="1"/>
      <c r="N53" s="5">
        <f t="shared" si="41"/>
        <v>-1</v>
      </c>
      <c r="O53" s="14"/>
      <c r="P53" s="1">
        <f>SUM(OSRRefP22_7x_0)</f>
        <v>5550</v>
      </c>
      <c r="Q53" s="1"/>
      <c r="R53" s="5">
        <f t="shared" si="42"/>
        <v>0</v>
      </c>
      <c r="S53" s="1"/>
      <c r="T53" s="1">
        <f>SUM(OSRRefT22_7x_0)</f>
        <v>9715</v>
      </c>
      <c r="U53" s="1"/>
      <c r="V53" s="5">
        <f t="shared" si="43"/>
        <v>0</v>
      </c>
      <c r="W53" s="1"/>
      <c r="X53" s="1">
        <f t="shared" si="44"/>
        <v>-4165</v>
      </c>
      <c r="Y53" s="1"/>
      <c r="Z53" s="5">
        <f t="shared" si="45"/>
        <v>-0.4287184765826042</v>
      </c>
    </row>
    <row r="54" spans="1:26" s="24" customFormat="1" hidden="1" outlineLevel="2" x14ac:dyDescent="0.25">
      <c r="A54" s="28"/>
      <c r="B54" s="11" t="str">
        <f>CONCATENATE("          ", "6273", " - ", "RENT")</f>
        <v xml:space="preserve">          6273 - RENT</v>
      </c>
      <c r="C54" s="11"/>
      <c r="D54" s="6"/>
      <c r="E54" s="2"/>
      <c r="F54" s="7">
        <f t="shared" si="38"/>
        <v>0</v>
      </c>
      <c r="G54" s="2"/>
      <c r="H54" s="6">
        <v>1943</v>
      </c>
      <c r="I54" s="2"/>
      <c r="J54" s="7">
        <f t="shared" si="39"/>
        <v>0</v>
      </c>
      <c r="K54" s="2"/>
      <c r="L54" s="6">
        <f t="shared" si="40"/>
        <v>-1943</v>
      </c>
      <c r="M54" s="2"/>
      <c r="N54" s="7">
        <f t="shared" si="41"/>
        <v>-1</v>
      </c>
      <c r="O54" s="11"/>
      <c r="P54" s="6">
        <v>5550</v>
      </c>
      <c r="Q54" s="2"/>
      <c r="R54" s="7">
        <f t="shared" si="42"/>
        <v>0</v>
      </c>
      <c r="S54" s="2"/>
      <c r="T54" s="6">
        <v>9715</v>
      </c>
      <c r="U54" s="2"/>
      <c r="V54" s="7">
        <f t="shared" si="43"/>
        <v>0</v>
      </c>
      <c r="W54" s="2"/>
      <c r="X54" s="6">
        <f t="shared" si="44"/>
        <v>-4165</v>
      </c>
      <c r="Y54" s="2"/>
      <c r="Z54" s="7">
        <f t="shared" si="45"/>
        <v>-0.4287184765826042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692.95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692.95</v>
      </c>
      <c r="Y55" s="1"/>
      <c r="Z55" s="5">
        <f t="shared" si="45"/>
        <v>0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38"/>
        <v>0</v>
      </c>
      <c r="G56" s="2"/>
      <c r="H56" s="6">
        <v>0</v>
      </c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>
        <v>150.94999999999999</v>
      </c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150.94999999999999</v>
      </c>
      <c r="Y56" s="2"/>
      <c r="Z56" s="7">
        <f t="shared" si="45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8"/>
        <v>0</v>
      </c>
      <c r="G57" s="2"/>
      <c r="H57" s="6">
        <v>0</v>
      </c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542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542</v>
      </c>
      <c r="Y57" s="2"/>
      <c r="Z57" s="7">
        <f t="shared" si="45"/>
        <v>0</v>
      </c>
    </row>
    <row r="58" spans="1:26" s="29" customFormat="1" outlineLevel="1" collapsed="1" x14ac:dyDescent="0.2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SUM(OSRRefD22_9x_0)</f>
        <v>0</v>
      </c>
      <c r="E58" s="1"/>
      <c r="F58" s="5">
        <f t="shared" ref="F58:F64" si="46">IF(D$12=0,0,D58/D$12)</f>
        <v>0</v>
      </c>
      <c r="G58" s="1"/>
      <c r="H58" s="1">
        <f>SUM(OSRRefH22_9x_0)</f>
        <v>0</v>
      </c>
      <c r="I58" s="1"/>
      <c r="J58" s="5">
        <f t="shared" ref="J58:J64" si="47">IF(H$12=0,0,H58/H$12)</f>
        <v>0</v>
      </c>
      <c r="K58" s="1"/>
      <c r="L58" s="1">
        <f t="shared" ref="L58:L64" si="48">+D58-H58</f>
        <v>0</v>
      </c>
      <c r="M58" s="1"/>
      <c r="N58" s="5">
        <f t="shared" ref="N58:N64" si="49">IF(H58=0,0,L58/H58)</f>
        <v>0</v>
      </c>
      <c r="O58" s="14"/>
      <c r="P58" s="1">
        <f>SUM(OSRRefP22_9x_0)</f>
        <v>0</v>
      </c>
      <c r="Q58" s="1"/>
      <c r="R58" s="5">
        <f t="shared" ref="R58:R64" si="50">IF(P$12=0,0,P58/P$12)</f>
        <v>0</v>
      </c>
      <c r="S58" s="1"/>
      <c r="T58" s="1">
        <f>SUM(OSRRefT22_9x_0)</f>
        <v>0</v>
      </c>
      <c r="U58" s="1"/>
      <c r="V58" s="5">
        <f t="shared" ref="V58:V64" si="51">IF(T$12=0,0,T58/T$12)</f>
        <v>0</v>
      </c>
      <c r="W58" s="1"/>
      <c r="X58" s="1">
        <f t="shared" ref="X58:X64" si="52">+P58-T58</f>
        <v>0</v>
      </c>
      <c r="Y58" s="1"/>
      <c r="Z58" s="5">
        <f t="shared" ref="Z58:Z64" si="53">IF(T58=0,0,X58/T58)</f>
        <v>0</v>
      </c>
    </row>
    <row r="59" spans="1:26" s="24" customFormat="1" hidden="1" outlineLevel="2" x14ac:dyDescent="0.25">
      <c r="A59" s="28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46"/>
        <v>0</v>
      </c>
      <c r="G59" s="2"/>
      <c r="H59" s="6">
        <v>0</v>
      </c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0</v>
      </c>
      <c r="U59" s="2"/>
      <c r="V59" s="7">
        <f t="shared" si="51"/>
        <v>0</v>
      </c>
      <c r="W59" s="2"/>
      <c r="X59" s="6">
        <f t="shared" si="52"/>
        <v>0</v>
      </c>
      <c r="Y59" s="2"/>
      <c r="Z59" s="7">
        <f t="shared" si="53"/>
        <v>0</v>
      </c>
    </row>
    <row r="60" spans="1:26" s="29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SUM(OSRRefD22_10x_0)</f>
        <v>115</v>
      </c>
      <c r="E60" s="1"/>
      <c r="F60" s="5">
        <f t="shared" si="46"/>
        <v>0</v>
      </c>
      <c r="G60" s="1"/>
      <c r="H60" s="1">
        <f>SUM(OSRRefH22_10x_0)</f>
        <v>0</v>
      </c>
      <c r="I60" s="1"/>
      <c r="J60" s="5">
        <f t="shared" si="47"/>
        <v>0</v>
      </c>
      <c r="K60" s="1"/>
      <c r="L60" s="1">
        <f t="shared" si="48"/>
        <v>115</v>
      </c>
      <c r="M60" s="1"/>
      <c r="N60" s="5">
        <f t="shared" si="49"/>
        <v>0</v>
      </c>
      <c r="O60" s="14"/>
      <c r="P60" s="1">
        <f>SUM(OSRRefP22_10x_0)</f>
        <v>230</v>
      </c>
      <c r="Q60" s="1"/>
      <c r="R60" s="5">
        <f t="shared" si="50"/>
        <v>0</v>
      </c>
      <c r="S60" s="1"/>
      <c r="T60" s="1">
        <f>SUM(OSRRefT22_10x_0)</f>
        <v>0</v>
      </c>
      <c r="U60" s="1"/>
      <c r="V60" s="5">
        <f t="shared" si="51"/>
        <v>0</v>
      </c>
      <c r="W60" s="1"/>
      <c r="X60" s="1">
        <f t="shared" si="52"/>
        <v>230</v>
      </c>
      <c r="Y60" s="1"/>
      <c r="Z60" s="5">
        <f t="shared" si="53"/>
        <v>0</v>
      </c>
    </row>
    <row r="61" spans="1:26" s="24" customFormat="1" hidden="1" outlineLevel="2" x14ac:dyDescent="0.25">
      <c r="A61" s="28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8"/>
      <c r="B62" s="11" t="str">
        <f>CONCATENATE("          ", "6284", " - ", "TRASH REMOVAL EXPENSE")</f>
        <v xml:space="preserve">          6284 - TRASH REMOVAL EXPENSE</v>
      </c>
      <c r="C62" s="11"/>
      <c r="D62" s="6">
        <v>115</v>
      </c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115</v>
      </c>
      <c r="M62" s="2"/>
      <c r="N62" s="7">
        <f t="shared" si="49"/>
        <v>0</v>
      </c>
      <c r="O62" s="11"/>
      <c r="P62" s="6">
        <v>230</v>
      </c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230</v>
      </c>
      <c r="Y62" s="2"/>
      <c r="Z62" s="7">
        <f t="shared" si="53"/>
        <v>0</v>
      </c>
    </row>
    <row r="63" spans="1:26" s="24" customFormat="1" hidden="1" outlineLevel="2" x14ac:dyDescent="0.25">
      <c r="A63" s="28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46"/>
        <v>0</v>
      </c>
      <c r="G63" s="2"/>
      <c r="H63" s="6">
        <v>0</v>
      </c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0</v>
      </c>
      <c r="U63" s="2"/>
      <c r="V63" s="7">
        <f t="shared" si="51"/>
        <v>0</v>
      </c>
      <c r="W63" s="2"/>
      <c r="X63" s="6">
        <f t="shared" si="52"/>
        <v>0</v>
      </c>
      <c r="Y63" s="2"/>
      <c r="Z63" s="7">
        <f t="shared" si="53"/>
        <v>0</v>
      </c>
    </row>
    <row r="64" spans="1:26" s="24" customFormat="1" hidden="1" outlineLevel="2" x14ac:dyDescent="0.25">
      <c r="A64" s="28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9" customFormat="1" outlineLevel="1" collapsed="1" x14ac:dyDescent="0.25">
      <c r="A65" s="27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SUM(OSRRefD22_11x_0)</f>
        <v>0</v>
      </c>
      <c r="E65" s="1"/>
      <c r="F65" s="5">
        <f t="shared" ref="F65:F76" si="54">IF(D$12=0,0,D65/D$12)</f>
        <v>0</v>
      </c>
      <c r="G65" s="1"/>
      <c r="H65" s="1">
        <f>SUM(OSRRefH22_11x_0)</f>
        <v>0</v>
      </c>
      <c r="I65" s="1"/>
      <c r="J65" s="5">
        <f t="shared" ref="J65:J76" si="55">IF(H$12=0,0,H65/H$12)</f>
        <v>0</v>
      </c>
      <c r="K65" s="1"/>
      <c r="L65" s="1">
        <f t="shared" ref="L65:L76" si="56">+D65-H65</f>
        <v>0</v>
      </c>
      <c r="M65" s="1"/>
      <c r="N65" s="5">
        <f t="shared" ref="N65:N76" si="57">IF(H65=0,0,L65/H65)</f>
        <v>0</v>
      </c>
      <c r="O65" s="14"/>
      <c r="P65" s="1">
        <f>SUM(OSRRefP22_11x_0)</f>
        <v>0</v>
      </c>
      <c r="Q65" s="1"/>
      <c r="R65" s="5">
        <f t="shared" ref="R65:R76" si="58">IF(P$12=0,0,P65/P$12)</f>
        <v>0</v>
      </c>
      <c r="S65" s="1"/>
      <c r="T65" s="1">
        <f>SUM(OSRRefT22_11x_0)</f>
        <v>0</v>
      </c>
      <c r="U65" s="1"/>
      <c r="V65" s="5">
        <f t="shared" ref="V65:V76" si="59">IF(T$12=0,0,T65/T$12)</f>
        <v>0</v>
      </c>
      <c r="W65" s="1"/>
      <c r="X65" s="1">
        <f t="shared" ref="X65:X76" si="60">+P65-T65</f>
        <v>0</v>
      </c>
      <c r="Y65" s="1"/>
      <c r="Z65" s="5">
        <f t="shared" ref="Z65:Z76" si="61">IF(T65=0,0,X65/T65)</f>
        <v>0</v>
      </c>
    </row>
    <row r="66" spans="1:26" s="24" customFormat="1" hidden="1" outlineLevel="2" x14ac:dyDescent="0.25">
      <c r="A66" s="28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9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SUM(OSRRefD22_12x_0)</f>
        <v>72</v>
      </c>
      <c r="E67" s="1"/>
      <c r="F67" s="5">
        <f t="shared" si="54"/>
        <v>0</v>
      </c>
      <c r="G67" s="1"/>
      <c r="H67" s="1">
        <f>SUM(OSRRefH22_12x_0)</f>
        <v>0</v>
      </c>
      <c r="I67" s="1"/>
      <c r="J67" s="5">
        <f t="shared" si="55"/>
        <v>0</v>
      </c>
      <c r="K67" s="1"/>
      <c r="L67" s="1">
        <f t="shared" si="56"/>
        <v>72</v>
      </c>
      <c r="M67" s="1"/>
      <c r="N67" s="5">
        <f t="shared" si="57"/>
        <v>0</v>
      </c>
      <c r="O67" s="14"/>
      <c r="P67" s="1">
        <f>SUM(OSRRefP22_12x_0)</f>
        <v>72</v>
      </c>
      <c r="Q67" s="1"/>
      <c r="R67" s="5">
        <f t="shared" si="58"/>
        <v>0</v>
      </c>
      <c r="S67" s="1"/>
      <c r="T67" s="1">
        <f>SUM(OSRRefT22_12x_0)</f>
        <v>0</v>
      </c>
      <c r="U67" s="1"/>
      <c r="V67" s="5">
        <f t="shared" si="59"/>
        <v>0</v>
      </c>
      <c r="W67" s="1"/>
      <c r="X67" s="1">
        <f t="shared" si="60"/>
        <v>72</v>
      </c>
      <c r="Y67" s="1"/>
      <c r="Z67" s="5">
        <f t="shared" si="61"/>
        <v>0</v>
      </c>
    </row>
    <row r="68" spans="1:26" s="24" customFormat="1" hidden="1" outlineLevel="2" x14ac:dyDescent="0.25">
      <c r="A68" s="28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4"/>
        <v>0</v>
      </c>
      <c r="G68" s="2"/>
      <c r="H68" s="6">
        <v>0</v>
      </c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8"/>
      <c r="B69" s="11" t="str">
        <f>CONCATENATE("          ", "6237", " - ", "JANITORIAL SUPPLIES")</f>
        <v xml:space="preserve">          6237 - JANITORIAL SUPPLIES</v>
      </c>
      <c r="C69" s="11"/>
      <c r="D69" s="6">
        <v>72</v>
      </c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72</v>
      </c>
      <c r="M69" s="2"/>
      <c r="N69" s="7">
        <f t="shared" si="57"/>
        <v>0</v>
      </c>
      <c r="O69" s="11"/>
      <c r="P69" s="6">
        <v>72</v>
      </c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72</v>
      </c>
      <c r="Y69" s="2"/>
      <c r="Z69" s="7">
        <f t="shared" si="61"/>
        <v>0</v>
      </c>
    </row>
    <row r="70" spans="1:26" s="24" customFormat="1" hidden="1" outlineLevel="2" x14ac:dyDescent="0.25">
      <c r="A70" s="28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8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8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8"/>
      <c r="B74" s="11" t="str">
        <f>CONCATENATE("          ", "6246", " - ", "REPLACEMENTS")</f>
        <v xml:space="preserve">          6246 - REPLACEMENTS</v>
      </c>
      <c r="C74" s="11"/>
      <c r="D74" s="6"/>
      <c r="E74" s="2"/>
      <c r="F74" s="7">
        <f t="shared" si="54"/>
        <v>0</v>
      </c>
      <c r="G74" s="2"/>
      <c r="H74" s="6">
        <v>0</v>
      </c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4" customFormat="1" hidden="1" outlineLevel="2" x14ac:dyDescent="0.25">
      <c r="A75" s="28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4"/>
        <v>0</v>
      </c>
      <c r="G75" s="2"/>
      <c r="H75" s="6">
        <v>0</v>
      </c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0</v>
      </c>
      <c r="U75" s="2"/>
      <c r="V75" s="7">
        <f t="shared" si="59"/>
        <v>0</v>
      </c>
      <c r="W75" s="2"/>
      <c r="X75" s="6">
        <f t="shared" si="60"/>
        <v>0</v>
      </c>
      <c r="Y75" s="2"/>
      <c r="Z75" s="7">
        <f t="shared" si="61"/>
        <v>0</v>
      </c>
    </row>
    <row r="76" spans="1:26" s="24" customFormat="1" hidden="1" outlineLevel="2" x14ac:dyDescent="0.25">
      <c r="A76" s="28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4"/>
        <v>0</v>
      </c>
      <c r="G76" s="2"/>
      <c r="H76" s="6"/>
      <c r="I76" s="2"/>
      <c r="J76" s="7">
        <f t="shared" si="55"/>
        <v>0</v>
      </c>
      <c r="K76" s="2"/>
      <c r="L76" s="6">
        <f t="shared" si="56"/>
        <v>0</v>
      </c>
      <c r="M76" s="2"/>
      <c r="N76" s="7">
        <f t="shared" si="57"/>
        <v>0</v>
      </c>
      <c r="O76" s="11"/>
      <c r="P76" s="6"/>
      <c r="Q76" s="2"/>
      <c r="R76" s="7">
        <f t="shared" si="58"/>
        <v>0</v>
      </c>
      <c r="S76" s="2"/>
      <c r="T76" s="6">
        <v>0</v>
      </c>
      <c r="U76" s="2"/>
      <c r="V76" s="7">
        <f t="shared" si="59"/>
        <v>0</v>
      </c>
      <c r="W76" s="2"/>
      <c r="X76" s="6">
        <f t="shared" si="60"/>
        <v>0</v>
      </c>
      <c r="Y76" s="2"/>
      <c r="Z76" s="7">
        <f t="shared" si="61"/>
        <v>0</v>
      </c>
    </row>
    <row r="77" spans="1:26" s="29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SUM(OSRRefD22_13x_0)</f>
        <v>0</v>
      </c>
      <c r="E77" s="1"/>
      <c r="F77" s="5">
        <f t="shared" ref="F77:F82" si="62">IF(D$12=0,0,D77/D$12)</f>
        <v>0</v>
      </c>
      <c r="G77" s="1"/>
      <c r="H77" s="1">
        <f>SUM(OSRRefH22_13x_0)</f>
        <v>0</v>
      </c>
      <c r="I77" s="1"/>
      <c r="J77" s="5">
        <f t="shared" ref="J77:J82" si="63">IF(H$12=0,0,H77/H$12)</f>
        <v>0</v>
      </c>
      <c r="K77" s="1"/>
      <c r="L77" s="1">
        <f t="shared" ref="L77:L82" si="64">+D77-H77</f>
        <v>0</v>
      </c>
      <c r="M77" s="1"/>
      <c r="N77" s="5">
        <f t="shared" ref="N77:N82" si="65">IF(H77=0,0,L77/H77)</f>
        <v>0</v>
      </c>
      <c r="O77" s="14"/>
      <c r="P77" s="1">
        <f>SUM(OSRRefP22_13x_0)</f>
        <v>77.430000000000007</v>
      </c>
      <c r="Q77" s="1"/>
      <c r="R77" s="5">
        <f t="shared" ref="R77:R82" si="66">IF(P$12=0,0,P77/P$12)</f>
        <v>0</v>
      </c>
      <c r="S77" s="1"/>
      <c r="T77" s="1">
        <f>SUM(OSRRefT22_13x_0)</f>
        <v>0</v>
      </c>
      <c r="U77" s="1"/>
      <c r="V77" s="5">
        <f t="shared" ref="V77:V82" si="67">IF(T$12=0,0,T77/T$12)</f>
        <v>0</v>
      </c>
      <c r="W77" s="1"/>
      <c r="X77" s="1">
        <f t="shared" ref="X77:X82" si="68">+P77-T77</f>
        <v>77.430000000000007</v>
      </c>
      <c r="Y77" s="1"/>
      <c r="Z77" s="5">
        <f t="shared" ref="Z77:Z82" si="69">IF(T77=0,0,X77/T77)</f>
        <v>0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6"/>
      <c r="E78" s="2"/>
      <c r="F78" s="7">
        <f t="shared" si="62"/>
        <v>0</v>
      </c>
      <c r="G78" s="2"/>
      <c r="H78" s="6">
        <v>0</v>
      </c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77.430000000000007</v>
      </c>
      <c r="Q78" s="2"/>
      <c r="R78" s="7">
        <f t="shared" si="66"/>
        <v>0</v>
      </c>
      <c r="S78" s="2"/>
      <c r="T78" s="6">
        <v>0</v>
      </c>
      <c r="U78" s="2"/>
      <c r="V78" s="7">
        <f t="shared" si="67"/>
        <v>0</v>
      </c>
      <c r="W78" s="2"/>
      <c r="X78" s="6">
        <f t="shared" si="68"/>
        <v>77.430000000000007</v>
      </c>
      <c r="Y78" s="2"/>
      <c r="Z78" s="7">
        <f t="shared" si="69"/>
        <v>0</v>
      </c>
    </row>
    <row r="79" spans="1:26" s="29" customFormat="1" outlineLevel="1" collapsed="1" x14ac:dyDescent="0.25">
      <c r="A79" s="27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SUM(OSRRefD22_14x_0)</f>
        <v>0</v>
      </c>
      <c r="E79" s="1"/>
      <c r="F79" s="5">
        <f t="shared" si="62"/>
        <v>0</v>
      </c>
      <c r="G79" s="1"/>
      <c r="H79" s="1">
        <f>SUM(OSRRefH22_14x_0)</f>
        <v>0</v>
      </c>
      <c r="I79" s="1"/>
      <c r="J79" s="5">
        <f t="shared" si="63"/>
        <v>0</v>
      </c>
      <c r="K79" s="1"/>
      <c r="L79" s="1">
        <f t="shared" si="64"/>
        <v>0</v>
      </c>
      <c r="M79" s="1"/>
      <c r="N79" s="5">
        <f t="shared" si="65"/>
        <v>0</v>
      </c>
      <c r="O79" s="14"/>
      <c r="P79" s="1">
        <f>SUM(OSRRefP22_14x_0)</f>
        <v>0</v>
      </c>
      <c r="Q79" s="1"/>
      <c r="R79" s="5">
        <f t="shared" si="66"/>
        <v>0</v>
      </c>
      <c r="S79" s="1"/>
      <c r="T79" s="1">
        <f>SUM(OSRRefT22_14x_0)</f>
        <v>0</v>
      </c>
      <c r="U79" s="1"/>
      <c r="V79" s="5">
        <f t="shared" si="67"/>
        <v>0</v>
      </c>
      <c r="W79" s="1"/>
      <c r="X79" s="1">
        <f t="shared" si="68"/>
        <v>0</v>
      </c>
      <c r="Y79" s="1"/>
      <c r="Z79" s="5">
        <f t="shared" si="69"/>
        <v>0</v>
      </c>
    </row>
    <row r="80" spans="1:26" s="24" customFormat="1" hidden="1" outlineLevel="2" x14ac:dyDescent="0.25">
      <c r="A80" s="28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2"/>
        <v>0</v>
      </c>
      <c r="G80" s="2"/>
      <c r="H80" s="6"/>
      <c r="I80" s="2"/>
      <c r="J80" s="7">
        <f t="shared" si="63"/>
        <v>0</v>
      </c>
      <c r="K80" s="2"/>
      <c r="L80" s="6">
        <f t="shared" si="64"/>
        <v>0</v>
      </c>
      <c r="M80" s="2"/>
      <c r="N80" s="7">
        <f t="shared" si="65"/>
        <v>0</v>
      </c>
      <c r="O80" s="11"/>
      <c r="P80" s="6"/>
      <c r="Q80" s="2"/>
      <c r="R80" s="7">
        <f t="shared" si="66"/>
        <v>0</v>
      </c>
      <c r="S80" s="2"/>
      <c r="T80" s="6">
        <v>0</v>
      </c>
      <c r="U80" s="2"/>
      <c r="V80" s="7">
        <f t="shared" si="67"/>
        <v>0</v>
      </c>
      <c r="W80" s="2"/>
      <c r="X80" s="6">
        <f t="shared" si="68"/>
        <v>0</v>
      </c>
      <c r="Y80" s="2"/>
      <c r="Z80" s="7">
        <f t="shared" si="69"/>
        <v>0</v>
      </c>
    </row>
    <row r="81" spans="1:26" s="29" customFormat="1" outlineLevel="1" collapsed="1" x14ac:dyDescent="0.25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SUM(OSRRefD22_15x_0)</f>
        <v>348</v>
      </c>
      <c r="E81" s="1"/>
      <c r="F81" s="5">
        <f t="shared" si="62"/>
        <v>0</v>
      </c>
      <c r="G81" s="1"/>
      <c r="H81" s="1">
        <f>SUM(OSRRefH22_15x_0)</f>
        <v>0</v>
      </c>
      <c r="I81" s="1"/>
      <c r="J81" s="5">
        <f t="shared" si="63"/>
        <v>0</v>
      </c>
      <c r="K81" s="1"/>
      <c r="L81" s="1">
        <f t="shared" si="64"/>
        <v>348</v>
      </c>
      <c r="M81" s="1"/>
      <c r="N81" s="5">
        <f t="shared" si="65"/>
        <v>0</v>
      </c>
      <c r="O81" s="14"/>
      <c r="P81" s="1">
        <f>SUM(OSRRefP22_15x_0)</f>
        <v>696</v>
      </c>
      <c r="Q81" s="1"/>
      <c r="R81" s="5">
        <f t="shared" si="66"/>
        <v>0</v>
      </c>
      <c r="S81" s="1"/>
      <c r="T81" s="1">
        <f>SUM(OSRRefT22_15x_0)</f>
        <v>0</v>
      </c>
      <c r="U81" s="1"/>
      <c r="V81" s="5">
        <f t="shared" si="67"/>
        <v>0</v>
      </c>
      <c r="W81" s="1"/>
      <c r="X81" s="1">
        <f t="shared" si="68"/>
        <v>696</v>
      </c>
      <c r="Y81" s="1"/>
      <c r="Z81" s="5">
        <f t="shared" si="69"/>
        <v>0</v>
      </c>
    </row>
    <row r="82" spans="1:26" s="24" customFormat="1" hidden="1" outlineLevel="2" x14ac:dyDescent="0.25">
      <c r="A82" s="28"/>
      <c r="B82" s="11" t="str">
        <f>CONCATENATE("          ", "6274", " - ", "UTILITIES")</f>
        <v xml:space="preserve">          6274 - UTILITIES</v>
      </c>
      <c r="C82" s="11"/>
      <c r="D82" s="6">
        <v>348</v>
      </c>
      <c r="E82" s="2"/>
      <c r="F82" s="7">
        <f t="shared" si="62"/>
        <v>0</v>
      </c>
      <c r="G82" s="2"/>
      <c r="H82" s="6">
        <v>0</v>
      </c>
      <c r="I82" s="2"/>
      <c r="J82" s="7">
        <f t="shared" si="63"/>
        <v>0</v>
      </c>
      <c r="K82" s="2"/>
      <c r="L82" s="6">
        <f t="shared" si="64"/>
        <v>348</v>
      </c>
      <c r="M82" s="2"/>
      <c r="N82" s="7">
        <f t="shared" si="65"/>
        <v>0</v>
      </c>
      <c r="O82" s="11"/>
      <c r="P82" s="6">
        <v>696</v>
      </c>
      <c r="Q82" s="2"/>
      <c r="R82" s="7">
        <f t="shared" si="66"/>
        <v>0</v>
      </c>
      <c r="S82" s="2"/>
      <c r="T82" s="6">
        <v>0</v>
      </c>
      <c r="U82" s="2"/>
      <c r="V82" s="7">
        <f t="shared" si="67"/>
        <v>0</v>
      </c>
      <c r="W82" s="2"/>
      <c r="X82" s="6">
        <f t="shared" si="68"/>
        <v>696</v>
      </c>
      <c r="Y82" s="2"/>
      <c r="Z82" s="7">
        <f t="shared" si="69"/>
        <v>0</v>
      </c>
    </row>
    <row r="83" spans="1:26" s="62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1">
        <f>+D19-D21+D84</f>
        <v>-5768.84</v>
      </c>
      <c r="E86" s="13"/>
      <c r="F86" s="20">
        <f>IF(D$12=0,0,D86/D$12)</f>
        <v>0</v>
      </c>
      <c r="G86" s="13"/>
      <c r="H86" s="21">
        <f>+H19-H21+H84</f>
        <v>-7384.333333333333</v>
      </c>
      <c r="I86" s="13"/>
      <c r="J86" s="20">
        <f>IF(H$12=0,0,H86/H$12)</f>
        <v>0</v>
      </c>
      <c r="K86" s="16"/>
      <c r="L86" s="21">
        <f>+D86-H86</f>
        <v>1615.4933333333329</v>
      </c>
      <c r="M86" s="16"/>
      <c r="N86" s="20">
        <f>IF(H86=0,0,L86/H86)</f>
        <v>-0.21877307813840108</v>
      </c>
      <c r="O86" s="26"/>
      <c r="P86" s="21">
        <f>+P19-P21+P84</f>
        <v>-33871.68</v>
      </c>
      <c r="Q86" s="13"/>
      <c r="R86" s="20">
        <f>IF(P$12=0,0,P86/P$12)</f>
        <v>0</v>
      </c>
      <c r="S86" s="13"/>
      <c r="T86" s="21">
        <f>+T19-T21+T84</f>
        <v>-37212.666666666664</v>
      </c>
      <c r="U86" s="13"/>
      <c r="V86" s="20">
        <f>IF(T$12=0,0,T86/T$12)</f>
        <v>0</v>
      </c>
      <c r="W86" s="16"/>
      <c r="X86" s="21">
        <f>+P86-T86</f>
        <v>3340.986666666664</v>
      </c>
      <c r="Y86" s="16"/>
      <c r="Z86" s="20">
        <f>IF(T86=0,0,X86/T86)</f>
        <v>-8.9780898977050758E-2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1">
        <f>+D86-D88</f>
        <v>-5768.84</v>
      </c>
      <c r="E90" s="13"/>
      <c r="F90" s="34">
        <f>IF(D$12=0,0,D90/D$12)</f>
        <v>0</v>
      </c>
      <c r="G90" s="13"/>
      <c r="H90" s="31">
        <f>+H86-H88</f>
        <v>-7384.333333333333</v>
      </c>
      <c r="I90" s="13"/>
      <c r="J90" s="34">
        <f>IF(H$12=0,0,H90/H$12)</f>
        <v>0</v>
      </c>
      <c r="K90" s="16"/>
      <c r="L90" s="31">
        <f>D90-H90</f>
        <v>1615.4933333333329</v>
      </c>
      <c r="M90" s="16"/>
      <c r="N90" s="34">
        <f>IF(H90=0,0,L90/H90)</f>
        <v>-0.21877307813840108</v>
      </c>
      <c r="O90" s="26"/>
      <c r="P90" s="31">
        <f>+P86-P88</f>
        <v>-33871.68</v>
      </c>
      <c r="Q90" s="13"/>
      <c r="R90" s="34">
        <f>IF(P$12=0,0,P90/P$12)</f>
        <v>0</v>
      </c>
      <c r="S90" s="13"/>
      <c r="T90" s="31">
        <f>+T86-T88</f>
        <v>-37212.666666666664</v>
      </c>
      <c r="U90" s="13"/>
      <c r="V90" s="34">
        <f>IF(T$12=0,0,T90/T$12)</f>
        <v>0</v>
      </c>
      <c r="W90" s="16"/>
      <c r="X90" s="31">
        <f>P90-T90</f>
        <v>3340.986666666664</v>
      </c>
      <c r="Y90" s="16"/>
      <c r="Z90" s="34">
        <f>IF(T90=0,0,X90/T90)</f>
        <v>-8.9780898977050758E-2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3">
        <f>SUM(D90:D92)</f>
        <v>-5768.84</v>
      </c>
      <c r="E93" s="13"/>
      <c r="F93" s="30">
        <f>IF(D$12=0,0,D93/D$12)</f>
        <v>0</v>
      </c>
      <c r="G93" s="13"/>
      <c r="H93" s="33">
        <f>SUM(H90:H92)</f>
        <v>-7384.333333333333</v>
      </c>
      <c r="I93" s="13"/>
      <c r="J93" s="30">
        <f>IF(H$12=0,0,H93/H$12)</f>
        <v>0</v>
      </c>
      <c r="K93" s="16"/>
      <c r="L93" s="33">
        <f>+D93-H93</f>
        <v>1615.4933333333329</v>
      </c>
      <c r="M93" s="16"/>
      <c r="N93" s="30">
        <f>IF(H93=0,0,L93/H93)</f>
        <v>-0.21877307813840108</v>
      </c>
      <c r="O93" s="26"/>
      <c r="P93" s="33">
        <f>SUM(P90:P92)</f>
        <v>-33871.68</v>
      </c>
      <c r="Q93" s="13"/>
      <c r="R93" s="30">
        <f>IF(P$12=0,0,P93/P$12)</f>
        <v>0</v>
      </c>
      <c r="S93" s="13"/>
      <c r="T93" s="33">
        <f>SUM(T90:T92)</f>
        <v>-37212.666666666664</v>
      </c>
      <c r="U93" s="13"/>
      <c r="V93" s="30">
        <f>IF(T$12=0,0,T93/T$12)</f>
        <v>0</v>
      </c>
      <c r="W93" s="16"/>
      <c r="X93" s="33">
        <f>+P93-T93</f>
        <v>3340.986666666664</v>
      </c>
      <c r="Y93" s="16"/>
      <c r="Z93" s="30">
        <f>IF(T93=0,0,X93/T93)</f>
        <v>-8.9780898977050758E-2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5">
        <v>44174.679846331019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7" t="s">
        <v>314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119.55</v>
      </c>
      <c r="E18" s="19"/>
      <c r="F18" s="35">
        <f t="shared" ref="F18:F28" si="0">IF(D$12=0,0,D18/D$12)</f>
        <v>0</v>
      </c>
      <c r="G18" s="19"/>
      <c r="H18" s="19">
        <f>SUM(OSRRefH22x_0)</f>
        <v>435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-315.45</v>
      </c>
      <c r="M18" s="4"/>
      <c r="N18" s="35">
        <f t="shared" ref="N18:N28" si="3">IF(H18=0,0,L18/H18)</f>
        <v>-0.72517241379310338</v>
      </c>
      <c r="O18" s="10"/>
      <c r="P18" s="19">
        <f>SUM(OSRRefP22x_0)</f>
        <v>1555.66</v>
      </c>
      <c r="Q18" s="19"/>
      <c r="R18" s="35">
        <f t="shared" ref="R18:R28" si="4">IF(P$12=0,0,P18/P$12)</f>
        <v>0</v>
      </c>
      <c r="S18" s="19"/>
      <c r="T18" s="19">
        <f>SUM(OSRRefT22x_0)</f>
        <v>2175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-619.33999999999992</v>
      </c>
      <c r="Y18" s="4"/>
      <c r="Z18" s="35">
        <f t="shared" ref="Z18:Z28" si="7">IF(T18=0,0,X18/T18)</f>
        <v>-0.28475402298850572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660.8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660.8</v>
      </c>
      <c r="Y20" s="2"/>
      <c r="Z20" s="7">
        <f t="shared" si="7"/>
        <v>0</v>
      </c>
    </row>
    <row r="21" spans="1:26" s="29" customFormat="1" outlineLevel="1" collapsed="1" x14ac:dyDescent="0.25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597.75</v>
      </c>
      <c r="Q21" s="1"/>
      <c r="R21" s="5">
        <f t="shared" si="4"/>
        <v>0</v>
      </c>
      <c r="S21" s="1"/>
      <c r="T21" s="1">
        <f>SUM(OSRRefT22_1x_0)</f>
        <v>2175</v>
      </c>
      <c r="U21" s="1"/>
      <c r="V21" s="5">
        <f t="shared" si="5"/>
        <v>0</v>
      </c>
      <c r="W21" s="1"/>
      <c r="X21" s="1">
        <f t="shared" si="6"/>
        <v>-1577.25</v>
      </c>
      <c r="Y21" s="1"/>
      <c r="Z21" s="5">
        <f t="shared" si="7"/>
        <v>-0.72517241379310349</v>
      </c>
    </row>
    <row r="22" spans="1:26" s="24" customFormat="1" hidden="1" outlineLevel="2" x14ac:dyDescent="0.25">
      <c r="A22" s="28"/>
      <c r="B22" s="11" t="str">
        <f>CONCATENATE("          ", "6322", " - ", "EQUIPMENT DEPRECIATION EXPENSE")</f>
        <v xml:space="preserve">          6322 - EQUIPMENT DEPRECIATION EXPENSE</v>
      </c>
      <c r="C22" s="11"/>
      <c r="D22" s="6">
        <v>119.55</v>
      </c>
      <c r="E22" s="2"/>
      <c r="F22" s="7">
        <f t="shared" si="0"/>
        <v>0</v>
      </c>
      <c r="G22" s="2"/>
      <c r="H22" s="6">
        <v>435</v>
      </c>
      <c r="I22" s="2"/>
      <c r="J22" s="7">
        <f t="shared" si="1"/>
        <v>0</v>
      </c>
      <c r="K22" s="2"/>
      <c r="L22" s="6">
        <f t="shared" si="2"/>
        <v>-315.45</v>
      </c>
      <c r="M22" s="2"/>
      <c r="N22" s="7">
        <f t="shared" si="3"/>
        <v>-0.72517241379310338</v>
      </c>
      <c r="O22" s="11"/>
      <c r="P22" s="6">
        <v>597.75</v>
      </c>
      <c r="Q22" s="2"/>
      <c r="R22" s="7">
        <f t="shared" si="4"/>
        <v>0</v>
      </c>
      <c r="S22" s="2"/>
      <c r="T22" s="6">
        <v>2175</v>
      </c>
      <c r="U22" s="2"/>
      <c r="V22" s="7">
        <f t="shared" si="5"/>
        <v>0</v>
      </c>
      <c r="W22" s="2"/>
      <c r="X22" s="6">
        <f t="shared" si="6"/>
        <v>-1577.25</v>
      </c>
      <c r="Y22" s="2"/>
      <c r="Z22" s="7">
        <f t="shared" si="7"/>
        <v>-0.72517241379310349</v>
      </c>
    </row>
    <row r="23" spans="1:26" s="29" customFormat="1" outlineLevel="1" collapsed="1" x14ac:dyDescent="0.25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8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64.02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64.02</v>
      </c>
      <c r="Y24" s="2"/>
      <c r="Z24" s="7">
        <f t="shared" si="7"/>
        <v>0</v>
      </c>
    </row>
    <row r="25" spans="1:26" s="29" customFormat="1" outlineLevel="1" collapsed="1" x14ac:dyDescent="0.25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147.88999999999999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147.88999999999999</v>
      </c>
      <c r="Y25" s="1"/>
      <c r="Z25" s="5">
        <f t="shared" si="7"/>
        <v>0</v>
      </c>
    </row>
    <row r="26" spans="1:26" s="24" customFormat="1" hidden="1" outlineLevel="2" x14ac:dyDescent="0.25">
      <c r="A26" s="28"/>
      <c r="B26" s="11" t="str">
        <f>CONCATENATE("          ", "6373", " - ", "MAINTENANCE CONTRACTS")</f>
        <v xml:space="preserve">          6373 - MAINTENANCE CONTRACTS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147.88999999999999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147.88999999999999</v>
      </c>
      <c r="Y26" s="2"/>
      <c r="Z26" s="7">
        <f t="shared" si="7"/>
        <v>0</v>
      </c>
    </row>
    <row r="27" spans="1:26" s="29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8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85.2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85.2</v>
      </c>
      <c r="Y28" s="2"/>
      <c r="Z28" s="7">
        <f t="shared" si="7"/>
        <v>0</v>
      </c>
    </row>
    <row r="29" spans="1:26" s="62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3</v>
      </c>
      <c r="C32" s="25"/>
      <c r="D32" s="21">
        <f>+D16-D18+D30</f>
        <v>-119.55</v>
      </c>
      <c r="E32" s="13"/>
      <c r="F32" s="20">
        <f>IF(D$12=0,0,D32/D$12)</f>
        <v>0</v>
      </c>
      <c r="G32" s="13"/>
      <c r="H32" s="21">
        <f>+H16-H18+H30</f>
        <v>-435</v>
      </c>
      <c r="I32" s="13"/>
      <c r="J32" s="20">
        <f>IF(H$12=0,0,H32/H$12)</f>
        <v>0</v>
      </c>
      <c r="K32" s="16"/>
      <c r="L32" s="21">
        <f>+D32-H32</f>
        <v>315.45</v>
      </c>
      <c r="M32" s="16"/>
      <c r="N32" s="20">
        <f>IF(H32=0,0,L32/H32)</f>
        <v>-0.72517241379310338</v>
      </c>
      <c r="O32" s="26"/>
      <c r="P32" s="21">
        <f>+P16-P18+P30</f>
        <v>-1555.66</v>
      </c>
      <c r="Q32" s="13"/>
      <c r="R32" s="20">
        <f>IF(P$12=0,0,P32/P$12)</f>
        <v>0</v>
      </c>
      <c r="S32" s="13"/>
      <c r="T32" s="21">
        <f>+T16-T18+T30</f>
        <v>-2175</v>
      </c>
      <c r="U32" s="13"/>
      <c r="V32" s="20">
        <f>IF(T$12=0,0,T32/T$12)</f>
        <v>0</v>
      </c>
      <c r="W32" s="16"/>
      <c r="X32" s="21">
        <f>+P32-T32</f>
        <v>619.33999999999992</v>
      </c>
      <c r="Y32" s="16"/>
      <c r="Z32" s="20">
        <f>IF(T32=0,0,X32/T32)</f>
        <v>-0.28475402298850572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4</v>
      </c>
      <c r="C36" s="25"/>
      <c r="D36" s="31">
        <f>+D32-D34</f>
        <v>-119.55</v>
      </c>
      <c r="E36" s="13"/>
      <c r="F36" s="34">
        <f>IF(D$12=0,0,D36/D$12)</f>
        <v>0</v>
      </c>
      <c r="G36" s="13"/>
      <c r="H36" s="31">
        <f>+H32-H34</f>
        <v>-435</v>
      </c>
      <c r="I36" s="13"/>
      <c r="J36" s="34">
        <f>IF(H$12=0,0,H36/H$12)</f>
        <v>0</v>
      </c>
      <c r="K36" s="16"/>
      <c r="L36" s="31">
        <f>D36-H36</f>
        <v>315.45</v>
      </c>
      <c r="M36" s="16"/>
      <c r="N36" s="34">
        <f>IF(H36=0,0,L36/H36)</f>
        <v>-0.72517241379310338</v>
      </c>
      <c r="O36" s="26"/>
      <c r="P36" s="31">
        <f>+P32-P34</f>
        <v>-1555.66</v>
      </c>
      <c r="Q36" s="13"/>
      <c r="R36" s="34">
        <f>IF(P$12=0,0,P36/P$12)</f>
        <v>0</v>
      </c>
      <c r="S36" s="13"/>
      <c r="T36" s="31">
        <f>+T32-T34</f>
        <v>-2175</v>
      </c>
      <c r="U36" s="13"/>
      <c r="V36" s="34">
        <f>IF(T$12=0,0,T36/T$12)</f>
        <v>0</v>
      </c>
      <c r="W36" s="16"/>
      <c r="X36" s="31">
        <f>P36-T36</f>
        <v>619.33999999999992</v>
      </c>
      <c r="Y36" s="16"/>
      <c r="Z36" s="34">
        <f>IF(T36=0,0,X36/T36)</f>
        <v>-0.28475402298850572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5</v>
      </c>
      <c r="C39" s="25"/>
      <c r="D39" s="33">
        <f>SUM(D36:D38)</f>
        <v>-119.55</v>
      </c>
      <c r="E39" s="13"/>
      <c r="F39" s="30">
        <f>IF(D$12=0,0,D39/D$12)</f>
        <v>0</v>
      </c>
      <c r="G39" s="13"/>
      <c r="H39" s="33">
        <f>SUM(H36:H38)</f>
        <v>-435</v>
      </c>
      <c r="I39" s="13"/>
      <c r="J39" s="30">
        <f>IF(H$12=0,0,H39/H$12)</f>
        <v>0</v>
      </c>
      <c r="K39" s="16"/>
      <c r="L39" s="33">
        <f>+D39-H39</f>
        <v>315.45</v>
      </c>
      <c r="M39" s="16"/>
      <c r="N39" s="30">
        <f>IF(H39=0,0,L39/H39)</f>
        <v>-0.72517241379310338</v>
      </c>
      <c r="O39" s="26"/>
      <c r="P39" s="33">
        <f>SUM(P36:P38)</f>
        <v>-1555.66</v>
      </c>
      <c r="Q39" s="13"/>
      <c r="R39" s="30">
        <f>IF(P$12=0,0,P39/P$12)</f>
        <v>0</v>
      </c>
      <c r="S39" s="13"/>
      <c r="T39" s="33">
        <f>SUM(T36:T38)</f>
        <v>-2175</v>
      </c>
      <c r="U39" s="13"/>
      <c r="V39" s="30">
        <f>IF(T$12=0,0,T39/T$12)</f>
        <v>0</v>
      </c>
      <c r="W39" s="16"/>
      <c r="X39" s="33">
        <f>+P39-T39</f>
        <v>619.33999999999992</v>
      </c>
      <c r="Y39" s="16"/>
      <c r="Z39" s="30">
        <f>IF(T39=0,0,X39/T39)</f>
        <v>-0.28475402298850572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5">
        <v>44174.679862233796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7" t="s">
        <v>314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3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35067.669999999991</v>
      </c>
      <c r="E18" s="19"/>
      <c r="F18" s="35">
        <f t="shared" ref="F18:F28" si="0">IF(D$12=0,0,D18/D$12)</f>
        <v>0</v>
      </c>
      <c r="G18" s="19"/>
      <c r="H18" s="19">
        <f>SUM(OSRRefH22x_0)</f>
        <v>17793.461538461539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17274.208461538452</v>
      </c>
      <c r="M18" s="4"/>
      <c r="N18" s="35">
        <f t="shared" ref="N18:N28" si="3">IF(H18=0,0,L18/H18)</f>
        <v>0.97081775933251135</v>
      </c>
      <c r="O18" s="10"/>
      <c r="P18" s="19">
        <f>SUM(OSRRefP22x_0)</f>
        <v>119199.39000000001</v>
      </c>
      <c r="Q18" s="19"/>
      <c r="R18" s="35">
        <f t="shared" ref="R18:R28" si="4">IF(P$12=0,0,P18/P$12)</f>
        <v>0</v>
      </c>
      <c r="S18" s="19"/>
      <c r="T18" s="19">
        <f>SUM(OSRRefT22x_0)</f>
        <v>88192.538461538468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31006.851538461546</v>
      </c>
      <c r="Y18" s="4"/>
      <c r="Z18" s="35">
        <f t="shared" ref="Z18:Z28" si="7">IF(T18=0,0,X18/T18)</f>
        <v>0.3515813478028405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6583.2099999999991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3569.7484615384592</v>
      </c>
      <c r="M19" s="1"/>
      <c r="N19" s="5">
        <f t="shared" si="3"/>
        <v>1.1846006381620917</v>
      </c>
      <c r="O19" s="14"/>
      <c r="P19" s="1">
        <f>SUM(OSRRefP22_0x_0)</f>
        <v>31194.9</v>
      </c>
      <c r="Q19" s="1"/>
      <c r="R19" s="5">
        <f t="shared" si="4"/>
        <v>0</v>
      </c>
      <c r="S19" s="1"/>
      <c r="T19" s="1">
        <f>SUM(OSRRefT22_0x_0)</f>
        <v>15706.538461538459</v>
      </c>
      <c r="U19" s="1"/>
      <c r="V19" s="5">
        <f t="shared" si="5"/>
        <v>0</v>
      </c>
      <c r="W19" s="1"/>
      <c r="X19" s="1">
        <f t="shared" si="6"/>
        <v>15488.361538461542</v>
      </c>
      <c r="Y19" s="1"/>
      <c r="Z19" s="5">
        <f t="shared" si="7"/>
        <v>0.98610916570756946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277.02999999999997</v>
      </c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277.02999999999997</v>
      </c>
      <c r="M20" s="2"/>
      <c r="N20" s="7">
        <f t="shared" si="3"/>
        <v>0</v>
      </c>
      <c r="O20" s="11"/>
      <c r="P20" s="6">
        <v>5175.59</v>
      </c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5175.59</v>
      </c>
      <c r="Y20" s="2"/>
      <c r="Z20" s="7">
        <f t="shared" si="7"/>
        <v>0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94.86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94.86</v>
      </c>
      <c r="M21" s="2"/>
      <c r="N21" s="7">
        <f t="shared" si="3"/>
        <v>0</v>
      </c>
      <c r="O21" s="11"/>
      <c r="P21" s="6">
        <v>330.21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330.21</v>
      </c>
      <c r="Y21" s="2"/>
      <c r="Z21" s="7">
        <f t="shared" si="7"/>
        <v>0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1950.75</v>
      </c>
      <c r="E22" s="2"/>
      <c r="F22" s="7">
        <f t="shared" si="0"/>
        <v>0</v>
      </c>
      <c r="G22" s="2"/>
      <c r="H22" s="6">
        <v>2663.4615384615399</v>
      </c>
      <c r="I22" s="2"/>
      <c r="J22" s="7">
        <f t="shared" si="1"/>
        <v>0</v>
      </c>
      <c r="K22" s="2"/>
      <c r="L22" s="6">
        <f t="shared" si="2"/>
        <v>-712.71153846153993</v>
      </c>
      <c r="M22" s="2"/>
      <c r="N22" s="7">
        <f t="shared" si="3"/>
        <v>-0.26758844765342998</v>
      </c>
      <c r="O22" s="11"/>
      <c r="P22" s="6">
        <v>8619.7199999999993</v>
      </c>
      <c r="Q22" s="2"/>
      <c r="R22" s="7">
        <f t="shared" si="4"/>
        <v>0</v>
      </c>
      <c r="S22" s="2"/>
      <c r="T22" s="6">
        <v>13956.538461538459</v>
      </c>
      <c r="U22" s="2"/>
      <c r="V22" s="7">
        <f t="shared" si="5"/>
        <v>0</v>
      </c>
      <c r="W22" s="2"/>
      <c r="X22" s="6">
        <f t="shared" si="6"/>
        <v>-5336.8184615384598</v>
      </c>
      <c r="Y22" s="2"/>
      <c r="Z22" s="7">
        <f t="shared" si="7"/>
        <v>-0.38238840356050369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74.739999999999995</v>
      </c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74.739999999999995</v>
      </c>
      <c r="M23" s="2"/>
      <c r="N23" s="7">
        <f t="shared" si="3"/>
        <v>0</v>
      </c>
      <c r="O23" s="11"/>
      <c r="P23" s="6">
        <v>195.27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195.27</v>
      </c>
      <c r="Y23" s="2"/>
      <c r="Z23" s="7">
        <f t="shared" si="7"/>
        <v>0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2560.39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2560.39</v>
      </c>
      <c r="M24" s="2"/>
      <c r="N24" s="7">
        <f t="shared" si="3"/>
        <v>0</v>
      </c>
      <c r="O24" s="11"/>
      <c r="P24" s="6">
        <v>7766.16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7766.16</v>
      </c>
      <c r="Y24" s="2"/>
      <c r="Z24" s="7">
        <f t="shared" si="7"/>
        <v>0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1022.52</v>
      </c>
      <c r="M26" s="2"/>
      <c r="N26" s="7">
        <f t="shared" si="3"/>
        <v>0</v>
      </c>
      <c r="O26" s="11"/>
      <c r="P26" s="6">
        <v>5816</v>
      </c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5816</v>
      </c>
      <c r="Y26" s="2"/>
      <c r="Z26" s="7">
        <f t="shared" si="7"/>
        <v>0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510.58</v>
      </c>
      <c r="M27" s="2"/>
      <c r="N27" s="7">
        <f t="shared" si="3"/>
        <v>0</v>
      </c>
      <c r="O27" s="11"/>
      <c r="P27" s="6">
        <v>2904.13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2904.13</v>
      </c>
      <c r="Y27" s="2"/>
      <c r="Z27" s="7">
        <f t="shared" si="7"/>
        <v>0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92.34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-257.65999999999997</v>
      </c>
      <c r="M28" s="2"/>
      <c r="N28" s="7">
        <f t="shared" si="3"/>
        <v>-0.73617142857142848</v>
      </c>
      <c r="O28" s="11"/>
      <c r="P28" s="6">
        <v>387.82</v>
      </c>
      <c r="Q28" s="2"/>
      <c r="R28" s="7">
        <f t="shared" si="4"/>
        <v>0</v>
      </c>
      <c r="S28" s="2"/>
      <c r="T28" s="6">
        <v>1750</v>
      </c>
      <c r="U28" s="2"/>
      <c r="V28" s="7">
        <f t="shared" si="5"/>
        <v>0</v>
      </c>
      <c r="W28" s="2"/>
      <c r="X28" s="6">
        <f t="shared" si="6"/>
        <v>-1362.18</v>
      </c>
      <c r="Y28" s="2"/>
      <c r="Z28" s="7">
        <f t="shared" si="7"/>
        <v>-0.77838857142857143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10267.35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10267.35</v>
      </c>
      <c r="M29" s="1"/>
      <c r="N29" s="5">
        <f t="shared" ref="N29:N39" si="11">IF(H29=0,0,L29/H29)</f>
        <v>0</v>
      </c>
      <c r="O29" s="14"/>
      <c r="P29" s="1">
        <f>SUM(OSRRefP22_1x_0)</f>
        <v>56209.380000000005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56209.380000000005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9962.35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9962.35</v>
      </c>
      <c r="M30" s="2"/>
      <c r="N30" s="7">
        <f t="shared" si="11"/>
        <v>0</v>
      </c>
      <c r="O30" s="11"/>
      <c r="P30" s="6">
        <v>53824.380000000005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53824.380000000005</v>
      </c>
      <c r="Y30" s="2"/>
      <c r="Z30" s="7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2080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2080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>
        <v>305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305</v>
      </c>
      <c r="M34" s="2"/>
      <c r="N34" s="7">
        <f t="shared" si="11"/>
        <v>0</v>
      </c>
      <c r="O34" s="11"/>
      <c r="P34" s="6">
        <v>305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305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9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399.29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399.29</v>
      </c>
      <c r="M42" s="1"/>
      <c r="N42" s="5">
        <f t="shared" si="19"/>
        <v>0</v>
      </c>
      <c r="O42" s="14"/>
      <c r="P42" s="1">
        <f>SUM(OSRRefP22_3x_0)</f>
        <v>1825.95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1825.95</v>
      </c>
      <c r="Y42" s="1"/>
      <c r="Z42" s="5">
        <f t="shared" si="23"/>
        <v>0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6">
        <v>399.29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399.29</v>
      </c>
      <c r="M43" s="2"/>
      <c r="N43" s="7">
        <f t="shared" si="19"/>
        <v>0</v>
      </c>
      <c r="O43" s="11"/>
      <c r="P43" s="6">
        <v>1825.95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1825.95</v>
      </c>
      <c r="Y43" s="2"/>
      <c r="Z43" s="7">
        <f t="shared" si="23"/>
        <v>0</v>
      </c>
    </row>
    <row r="44" spans="1:26" s="29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4"/>
      <c r="P44" s="1">
        <f>SUM(OSRRefP22_4x_0)</f>
        <v>34683.490000000005</v>
      </c>
      <c r="Q44" s="1"/>
      <c r="R44" s="5">
        <f t="shared" si="20"/>
        <v>0</v>
      </c>
      <c r="S44" s="1"/>
      <c r="T44" s="1">
        <f>SUM(OSRRefT22_4x_0)</f>
        <v>34506</v>
      </c>
      <c r="U44" s="1"/>
      <c r="V44" s="5">
        <f t="shared" si="21"/>
        <v>0</v>
      </c>
      <c r="W44" s="1"/>
      <c r="X44" s="1">
        <f t="shared" si="22"/>
        <v>177.49000000000524</v>
      </c>
      <c r="Y44" s="1"/>
      <c r="Z44" s="5">
        <f t="shared" si="23"/>
        <v>5.1437431171392003E-3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6">
        <v>1822.68</v>
      </c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1822.68</v>
      </c>
      <c r="M45" s="2"/>
      <c r="N45" s="7">
        <f t="shared" si="19"/>
        <v>0</v>
      </c>
      <c r="O45" s="11"/>
      <c r="P45" s="6">
        <v>9897.59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9897.59</v>
      </c>
      <c r="Y45" s="2"/>
      <c r="Z45" s="7">
        <f t="shared" si="23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4957.18</v>
      </c>
      <c r="E46" s="2"/>
      <c r="F46" s="7">
        <f t="shared" si="16"/>
        <v>0</v>
      </c>
      <c r="G46" s="2"/>
      <c r="H46" s="6">
        <v>6744</v>
      </c>
      <c r="I46" s="2"/>
      <c r="J46" s="7">
        <f t="shared" si="17"/>
        <v>0</v>
      </c>
      <c r="K46" s="2"/>
      <c r="L46" s="6">
        <f t="shared" si="18"/>
        <v>-1786.8199999999997</v>
      </c>
      <c r="M46" s="2"/>
      <c r="N46" s="7">
        <f t="shared" si="19"/>
        <v>-0.26494958481613279</v>
      </c>
      <c r="O46" s="11"/>
      <c r="P46" s="6">
        <v>24785.9</v>
      </c>
      <c r="Q46" s="2"/>
      <c r="R46" s="7">
        <f t="shared" si="20"/>
        <v>0</v>
      </c>
      <c r="S46" s="2"/>
      <c r="T46" s="6">
        <v>34506</v>
      </c>
      <c r="U46" s="2"/>
      <c r="V46" s="7">
        <f t="shared" si="21"/>
        <v>0</v>
      </c>
      <c r="W46" s="2"/>
      <c r="X46" s="6">
        <f t="shared" si="22"/>
        <v>-9720.0999999999985</v>
      </c>
      <c r="Y46" s="2"/>
      <c r="Z46" s="7">
        <f t="shared" si="23"/>
        <v>-0.28169303889178687</v>
      </c>
    </row>
    <row r="47" spans="1:26" s="29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567</v>
      </c>
      <c r="E47" s="1"/>
      <c r="F47" s="5">
        <f t="shared" ref="F47:F57" si="24">IF(D$12=0,0,D47/D$12)</f>
        <v>0</v>
      </c>
      <c r="G47" s="1"/>
      <c r="H47" s="1">
        <f>SUM(OSRRefH22_5x_0)</f>
        <v>0</v>
      </c>
      <c r="I47" s="1"/>
      <c r="J47" s="5">
        <f t="shared" ref="J47:J57" si="25">IF(H$12=0,0,H47/H$12)</f>
        <v>0</v>
      </c>
      <c r="K47" s="1"/>
      <c r="L47" s="1">
        <f t="shared" ref="L47:L57" si="26">+D47-H47</f>
        <v>567</v>
      </c>
      <c r="M47" s="1"/>
      <c r="N47" s="5">
        <f t="shared" ref="N47:N57" si="27">IF(H47=0,0,L47/H47)</f>
        <v>0</v>
      </c>
      <c r="O47" s="14"/>
      <c r="P47" s="1">
        <f>SUM(OSRRefP22_5x_0)</f>
        <v>2745.71</v>
      </c>
      <c r="Q47" s="1"/>
      <c r="R47" s="5">
        <f t="shared" ref="R47:R57" si="28">IF(P$12=0,0,P47/P$12)</f>
        <v>0</v>
      </c>
      <c r="S47" s="1"/>
      <c r="T47" s="1">
        <f>SUM(OSRRefT22_5x_0)</f>
        <v>0</v>
      </c>
      <c r="U47" s="1"/>
      <c r="V47" s="5">
        <f t="shared" ref="V47:V57" si="29">IF(T$12=0,0,T47/T$12)</f>
        <v>0</v>
      </c>
      <c r="W47" s="1"/>
      <c r="X47" s="1">
        <f t="shared" ref="X47:X57" si="30">+P47-T47</f>
        <v>2745.71</v>
      </c>
      <c r="Y47" s="1"/>
      <c r="Z47" s="5">
        <f t="shared" ref="Z47:Z57" si="31">IF(T47=0,0,X47/T47)</f>
        <v>0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6">
        <v>567</v>
      </c>
      <c r="E48" s="2"/>
      <c r="F48" s="7">
        <f t="shared" si="24"/>
        <v>0</v>
      </c>
      <c r="G48" s="2"/>
      <c r="H48" s="6">
        <v>0</v>
      </c>
      <c r="I48" s="2"/>
      <c r="J48" s="7">
        <f t="shared" si="25"/>
        <v>0</v>
      </c>
      <c r="K48" s="2"/>
      <c r="L48" s="6">
        <f t="shared" si="26"/>
        <v>567</v>
      </c>
      <c r="M48" s="2"/>
      <c r="N48" s="7">
        <f t="shared" si="27"/>
        <v>0</v>
      </c>
      <c r="O48" s="11"/>
      <c r="P48" s="6">
        <v>2745.71</v>
      </c>
      <c r="Q48" s="2"/>
      <c r="R48" s="7">
        <f t="shared" si="28"/>
        <v>0</v>
      </c>
      <c r="S48" s="2"/>
      <c r="T48" s="6">
        <v>0</v>
      </c>
      <c r="U48" s="2"/>
      <c r="V48" s="7">
        <f t="shared" si="29"/>
        <v>0</v>
      </c>
      <c r="W48" s="2"/>
      <c r="X48" s="6">
        <f t="shared" si="30"/>
        <v>2745.71</v>
      </c>
      <c r="Y48" s="2"/>
      <c r="Z48" s="7">
        <f t="shared" si="31"/>
        <v>0</v>
      </c>
    </row>
    <row r="49" spans="1:26" s="29" customFormat="1" outlineLevel="1" collapsed="1" x14ac:dyDescent="0.2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-5.41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-5.41</v>
      </c>
      <c r="Y50" s="2"/>
      <c r="Z50" s="7">
        <f t="shared" si="31"/>
        <v>0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4"/>
      <c r="P51" s="1">
        <f>SUM(OSRRefP22_7x_0)</f>
        <v>0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0</v>
      </c>
      <c r="Y51" s="1"/>
      <c r="Z51" s="5">
        <f t="shared" si="31"/>
        <v>0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0</v>
      </c>
      <c r="U52" s="2"/>
      <c r="V52" s="7">
        <f t="shared" si="29"/>
        <v>0</v>
      </c>
      <c r="W52" s="2"/>
      <c r="X52" s="6">
        <f t="shared" si="30"/>
        <v>0</v>
      </c>
      <c r="Y52" s="2"/>
      <c r="Z52" s="7">
        <f t="shared" si="31"/>
        <v>0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4"/>
      <c r="P53" s="1">
        <f>SUM(OSRRefP22_8x_0)</f>
        <v>24106.25</v>
      </c>
      <c r="Q53" s="1"/>
      <c r="R53" s="5">
        <f t="shared" si="28"/>
        <v>0</v>
      </c>
      <c r="S53" s="1"/>
      <c r="T53" s="1">
        <f>SUM(OSRRefT22_8x_0)</f>
        <v>19300</v>
      </c>
      <c r="U53" s="1"/>
      <c r="V53" s="5">
        <f t="shared" si="29"/>
        <v>0</v>
      </c>
      <c r="W53" s="1"/>
      <c r="X53" s="1">
        <f t="shared" si="30"/>
        <v>4806.25</v>
      </c>
      <c r="Y53" s="1"/>
      <c r="Z53" s="5">
        <f t="shared" si="31"/>
        <v>0.24902849740932642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3598.85</v>
      </c>
      <c r="E54" s="2"/>
      <c r="F54" s="7">
        <f t="shared" si="24"/>
        <v>0</v>
      </c>
      <c r="G54" s="2"/>
      <c r="H54" s="6">
        <v>3860</v>
      </c>
      <c r="I54" s="2"/>
      <c r="J54" s="7">
        <f t="shared" si="25"/>
        <v>0</v>
      </c>
      <c r="K54" s="2"/>
      <c r="L54" s="6">
        <f t="shared" si="26"/>
        <v>-261.15000000000009</v>
      </c>
      <c r="M54" s="2"/>
      <c r="N54" s="7">
        <f t="shared" si="27"/>
        <v>-6.76554404145078E-2</v>
      </c>
      <c r="O54" s="11"/>
      <c r="P54" s="6">
        <v>24106.25</v>
      </c>
      <c r="Q54" s="2"/>
      <c r="R54" s="7">
        <f t="shared" si="28"/>
        <v>0</v>
      </c>
      <c r="S54" s="2"/>
      <c r="T54" s="6">
        <v>19300</v>
      </c>
      <c r="U54" s="2"/>
      <c r="V54" s="7">
        <f t="shared" si="29"/>
        <v>0</v>
      </c>
      <c r="W54" s="2"/>
      <c r="X54" s="6">
        <f t="shared" si="30"/>
        <v>4806.25</v>
      </c>
      <c r="Y54" s="2"/>
      <c r="Z54" s="7">
        <f t="shared" si="31"/>
        <v>0.24902849740932642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1475.01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1475.01</v>
      </c>
      <c r="M55" s="1"/>
      <c r="N55" s="5">
        <f t="shared" si="27"/>
        <v>0</v>
      </c>
      <c r="O55" s="14"/>
      <c r="P55" s="1">
        <f>SUM(OSRRefP22_9x_0)</f>
        <v>2304.36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2304.36</v>
      </c>
      <c r="Y55" s="1"/>
      <c r="Z55" s="5">
        <f t="shared" si="31"/>
        <v>0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6">
        <v>900.01</v>
      </c>
      <c r="E56" s="2"/>
      <c r="F56" s="7">
        <f t="shared" si="24"/>
        <v>0</v>
      </c>
      <c r="G56" s="2"/>
      <c r="H56" s="6">
        <v>0</v>
      </c>
      <c r="I56" s="2"/>
      <c r="J56" s="7">
        <f t="shared" si="25"/>
        <v>0</v>
      </c>
      <c r="K56" s="2"/>
      <c r="L56" s="6">
        <f t="shared" si="26"/>
        <v>900.01</v>
      </c>
      <c r="M56" s="2"/>
      <c r="N56" s="7">
        <f t="shared" si="27"/>
        <v>0</v>
      </c>
      <c r="O56" s="11"/>
      <c r="P56" s="6">
        <v>1691.9</v>
      </c>
      <c r="Q56" s="2"/>
      <c r="R56" s="7">
        <f t="shared" si="28"/>
        <v>0</v>
      </c>
      <c r="S56" s="2"/>
      <c r="T56" s="6">
        <v>0</v>
      </c>
      <c r="U56" s="2"/>
      <c r="V56" s="7">
        <f t="shared" si="29"/>
        <v>0</v>
      </c>
      <c r="W56" s="2"/>
      <c r="X56" s="6">
        <f t="shared" si="30"/>
        <v>1691.9</v>
      </c>
      <c r="Y56" s="2"/>
      <c r="Z56" s="7">
        <f t="shared" si="31"/>
        <v>0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575</v>
      </c>
      <c r="E57" s="2"/>
      <c r="F57" s="7">
        <f t="shared" si="24"/>
        <v>0</v>
      </c>
      <c r="G57" s="2"/>
      <c r="H57" s="6">
        <v>0</v>
      </c>
      <c r="I57" s="2"/>
      <c r="J57" s="7">
        <f t="shared" si="25"/>
        <v>0</v>
      </c>
      <c r="K57" s="2"/>
      <c r="L57" s="6">
        <f t="shared" si="26"/>
        <v>575</v>
      </c>
      <c r="M57" s="2"/>
      <c r="N57" s="7">
        <f t="shared" si="27"/>
        <v>0</v>
      </c>
      <c r="O57" s="11"/>
      <c r="P57" s="6">
        <v>612.46</v>
      </c>
      <c r="Q57" s="2"/>
      <c r="R57" s="7">
        <f t="shared" si="28"/>
        <v>0</v>
      </c>
      <c r="S57" s="2"/>
      <c r="T57" s="6">
        <v>0</v>
      </c>
      <c r="U57" s="2"/>
      <c r="V57" s="7">
        <f t="shared" si="29"/>
        <v>0</v>
      </c>
      <c r="W57" s="2"/>
      <c r="X57" s="6">
        <f t="shared" si="30"/>
        <v>612.46</v>
      </c>
      <c r="Y57" s="2"/>
      <c r="Z57" s="7">
        <f t="shared" si="31"/>
        <v>0</v>
      </c>
    </row>
    <row r="58" spans="1:26" s="29" customFormat="1" outlineLevel="1" collapsed="1" x14ac:dyDescent="0.2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4254</v>
      </c>
      <c r="E58" s="1"/>
      <c r="F58" s="5">
        <f t="shared" ref="F58:F62" si="32">IF(D$12=0,0,D58/D$12)</f>
        <v>0</v>
      </c>
      <c r="G58" s="1"/>
      <c r="H58" s="1">
        <f>SUM(OSRRefH22_10x_0)</f>
        <v>3126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1128</v>
      </c>
      <c r="M58" s="1"/>
      <c r="N58" s="5">
        <f t="shared" ref="N58:N62" si="35">IF(H58=0,0,L58/H58)</f>
        <v>0.36084452975047987</v>
      </c>
      <c r="O58" s="14"/>
      <c r="P58" s="1">
        <f>SUM(OSRRefP22_10x_0)</f>
        <v>8508</v>
      </c>
      <c r="Q58" s="1"/>
      <c r="R58" s="5">
        <f t="shared" ref="R58:R62" si="36">IF(P$12=0,0,P58/P$12)</f>
        <v>0</v>
      </c>
      <c r="S58" s="1"/>
      <c r="T58" s="1">
        <f>SUM(OSRRefT22_10x_0)</f>
        <v>13430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-4922</v>
      </c>
      <c r="Y58" s="1"/>
      <c r="Z58" s="5">
        <f t="shared" ref="Z58:Z62" si="39">IF(T58=0,0,X58/T58)</f>
        <v>-0.3664929262844378</v>
      </c>
    </row>
    <row r="59" spans="1:26" s="24" customFormat="1" hidden="1" outlineLevel="2" x14ac:dyDescent="0.25">
      <c r="A59" s="28"/>
      <c r="B59" s="11" t="str">
        <f>CONCATENATE("          ", "6282", " - ", "JANITORIAL/EXTERMINATOR EXPENS")</f>
        <v xml:space="preserve">          6282 - JANITORIAL/EXTERMINATOR EXPENS</v>
      </c>
      <c r="C59" s="11"/>
      <c r="D59" s="6"/>
      <c r="E59" s="2"/>
      <c r="F59" s="7">
        <f t="shared" si="32"/>
        <v>0</v>
      </c>
      <c r="G59" s="2"/>
      <c r="H59" s="6">
        <v>626</v>
      </c>
      <c r="I59" s="2"/>
      <c r="J59" s="7">
        <f t="shared" si="33"/>
        <v>0</v>
      </c>
      <c r="K59" s="2"/>
      <c r="L59" s="6">
        <f t="shared" si="34"/>
        <v>-626</v>
      </c>
      <c r="M59" s="2"/>
      <c r="N59" s="7">
        <f t="shared" si="35"/>
        <v>-1</v>
      </c>
      <c r="O59" s="11"/>
      <c r="P59" s="6"/>
      <c r="Q59" s="2"/>
      <c r="R59" s="7">
        <f t="shared" si="36"/>
        <v>0</v>
      </c>
      <c r="S59" s="2"/>
      <c r="T59" s="6">
        <v>3130</v>
      </c>
      <c r="U59" s="2"/>
      <c r="V59" s="7">
        <f t="shared" si="37"/>
        <v>0</v>
      </c>
      <c r="W59" s="2"/>
      <c r="X59" s="6">
        <f t="shared" si="38"/>
        <v>-3130</v>
      </c>
      <c r="Y59" s="2"/>
      <c r="Z59" s="7">
        <f t="shared" si="39"/>
        <v>-1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32"/>
        <v>0</v>
      </c>
      <c r="G60" s="2"/>
      <c r="H60" s="6">
        <v>0</v>
      </c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0</v>
      </c>
      <c r="U60" s="2"/>
      <c r="V60" s="7">
        <f t="shared" si="37"/>
        <v>0</v>
      </c>
      <c r="W60" s="2"/>
      <c r="X60" s="6">
        <f t="shared" si="38"/>
        <v>0</v>
      </c>
      <c r="Y60" s="2"/>
      <c r="Z60" s="7">
        <f t="shared" si="39"/>
        <v>0</v>
      </c>
    </row>
    <row r="61" spans="1:26" s="24" customFormat="1" hidden="1" outlineLevel="2" x14ac:dyDescent="0.25">
      <c r="A61" s="28"/>
      <c r="B61" s="11" t="str">
        <f>CONCATENATE("          ", "6284", " - ", "TRASH REMOVAL EXPENSE")</f>
        <v xml:space="preserve">          6284 - TRASH REMOVAL EXPENSE</v>
      </c>
      <c r="C61" s="11"/>
      <c r="D61" s="6">
        <v>4254</v>
      </c>
      <c r="E61" s="2"/>
      <c r="F61" s="7">
        <f t="shared" si="32"/>
        <v>0</v>
      </c>
      <c r="G61" s="2"/>
      <c r="H61" s="6">
        <v>2500</v>
      </c>
      <c r="I61" s="2"/>
      <c r="J61" s="7">
        <f t="shared" si="33"/>
        <v>0</v>
      </c>
      <c r="K61" s="2"/>
      <c r="L61" s="6">
        <f t="shared" si="34"/>
        <v>1754</v>
      </c>
      <c r="M61" s="2"/>
      <c r="N61" s="7">
        <f t="shared" si="35"/>
        <v>0.7016</v>
      </c>
      <c r="O61" s="11"/>
      <c r="P61" s="6">
        <v>8508</v>
      </c>
      <c r="Q61" s="2"/>
      <c r="R61" s="7">
        <f t="shared" si="36"/>
        <v>0</v>
      </c>
      <c r="S61" s="2"/>
      <c r="T61" s="6">
        <v>10300</v>
      </c>
      <c r="U61" s="2"/>
      <c r="V61" s="7">
        <f t="shared" si="37"/>
        <v>0</v>
      </c>
      <c r="W61" s="2"/>
      <c r="X61" s="6">
        <f t="shared" si="38"/>
        <v>-1792</v>
      </c>
      <c r="Y61" s="2"/>
      <c r="Z61" s="7">
        <f t="shared" si="39"/>
        <v>-0.17398058252427184</v>
      </c>
    </row>
    <row r="62" spans="1:26" s="24" customFormat="1" hidden="1" outlineLevel="2" x14ac:dyDescent="0.25">
      <c r="A62" s="28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32"/>
        <v>0</v>
      </c>
      <c r="G62" s="2"/>
      <c r="H62" s="6">
        <v>0</v>
      </c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/>
      <c r="Q62" s="2"/>
      <c r="R62" s="7">
        <f t="shared" si="36"/>
        <v>0</v>
      </c>
      <c r="S62" s="2"/>
      <c r="T62" s="6">
        <v>0</v>
      </c>
      <c r="U62" s="2"/>
      <c r="V62" s="7">
        <f t="shared" si="37"/>
        <v>0</v>
      </c>
      <c r="W62" s="2"/>
      <c r="X62" s="6">
        <f t="shared" si="38"/>
        <v>0</v>
      </c>
      <c r="Y62" s="2"/>
      <c r="Z62" s="7">
        <f t="shared" si="39"/>
        <v>0</v>
      </c>
    </row>
    <row r="63" spans="1:26" s="29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0</v>
      </c>
      <c r="E63" s="1"/>
      <c r="F63" s="5">
        <f t="shared" ref="F63:F70" si="40">IF(D$12=0,0,D63/D$12)</f>
        <v>0</v>
      </c>
      <c r="G63" s="1"/>
      <c r="H63" s="1">
        <f>SUM(OSRRefH22_11x_0)</f>
        <v>0</v>
      </c>
      <c r="I63" s="1"/>
      <c r="J63" s="5">
        <f t="shared" ref="J63:J70" si="41">IF(H$12=0,0,H63/H$12)</f>
        <v>0</v>
      </c>
      <c r="K63" s="1"/>
      <c r="L63" s="1">
        <f t="shared" ref="L63:L70" si="42">+D63-H63</f>
        <v>0</v>
      </c>
      <c r="M63" s="1"/>
      <c r="N63" s="5">
        <f t="shared" ref="N63:N70" si="43">IF(H63=0,0,L63/H63)</f>
        <v>0</v>
      </c>
      <c r="O63" s="14"/>
      <c r="P63" s="1">
        <f>SUM(OSRRefP22_11x_0)</f>
        <v>-29072.879999999997</v>
      </c>
      <c r="Q63" s="1"/>
      <c r="R63" s="5">
        <f t="shared" ref="R63:R70" si="44">IF(P$12=0,0,P63/P$12)</f>
        <v>0</v>
      </c>
      <c r="S63" s="1"/>
      <c r="T63" s="1">
        <f>SUM(OSRRefT22_11x_0)</f>
        <v>0</v>
      </c>
      <c r="U63" s="1"/>
      <c r="V63" s="5">
        <f t="shared" ref="V63:V70" si="45">IF(T$12=0,0,T63/T$12)</f>
        <v>0</v>
      </c>
      <c r="W63" s="1"/>
      <c r="X63" s="1">
        <f t="shared" ref="X63:X70" si="46">+P63-T63</f>
        <v>-29072.879999999997</v>
      </c>
      <c r="Y63" s="1"/>
      <c r="Z63" s="5">
        <f t="shared" ref="Z63:Z70" si="47">IF(T63=0,0,X63/T63)</f>
        <v>0</v>
      </c>
    </row>
    <row r="64" spans="1:26" s="24" customFormat="1" hidden="1" outlineLevel="2" x14ac:dyDescent="0.25">
      <c r="A64" s="28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127.89</v>
      </c>
      <c r="Q64" s="2"/>
      <c r="R64" s="7">
        <f t="shared" si="44"/>
        <v>0</v>
      </c>
      <c r="S64" s="2"/>
      <c r="T64" s="6">
        <v>0</v>
      </c>
      <c r="U64" s="2"/>
      <c r="V64" s="7">
        <f t="shared" si="45"/>
        <v>0</v>
      </c>
      <c r="W64" s="2"/>
      <c r="X64" s="6">
        <f t="shared" si="46"/>
        <v>127.89</v>
      </c>
      <c r="Y64" s="2"/>
      <c r="Z64" s="7">
        <f t="shared" si="47"/>
        <v>0</v>
      </c>
    </row>
    <row r="65" spans="1:26" s="24" customFormat="1" hidden="1" outlineLevel="2" x14ac:dyDescent="0.25">
      <c r="A65" s="28"/>
      <c r="B65" s="11" t="str">
        <f>CONCATENATE("          ", "6237", " - ", "JANITORIAL SUPPLIES")</f>
        <v xml:space="preserve">          6237 - JANITORIAL SUPPLIES</v>
      </c>
      <c r="C65" s="11"/>
      <c r="D65" s="6"/>
      <c r="E65" s="2"/>
      <c r="F65" s="7">
        <f t="shared" si="40"/>
        <v>0</v>
      </c>
      <c r="G65" s="2"/>
      <c r="H65" s="6">
        <v>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/>
      <c r="Q65" s="2"/>
      <c r="R65" s="7">
        <f t="shared" si="44"/>
        <v>0</v>
      </c>
      <c r="S65" s="2"/>
      <c r="T65" s="6">
        <v>0</v>
      </c>
      <c r="U65" s="2"/>
      <c r="V65" s="7">
        <f t="shared" si="45"/>
        <v>0</v>
      </c>
      <c r="W65" s="2"/>
      <c r="X65" s="6">
        <f t="shared" si="46"/>
        <v>0</v>
      </c>
      <c r="Y65" s="2"/>
      <c r="Z65" s="7">
        <f t="shared" si="47"/>
        <v>0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6"/>
      <c r="E66" s="2"/>
      <c r="F66" s="7">
        <f t="shared" si="40"/>
        <v>0</v>
      </c>
      <c r="G66" s="2"/>
      <c r="H66" s="6">
        <v>0</v>
      </c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40"/>
        <v>0</v>
      </c>
      <c r="G67" s="2"/>
      <c r="H67" s="6">
        <v>0</v>
      </c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-29200.769999999997</v>
      </c>
      <c r="Q67" s="2"/>
      <c r="R67" s="7">
        <f t="shared" si="44"/>
        <v>0</v>
      </c>
      <c r="S67" s="2"/>
      <c r="T67" s="6">
        <v>0</v>
      </c>
      <c r="U67" s="2"/>
      <c r="V67" s="7">
        <f t="shared" si="45"/>
        <v>0</v>
      </c>
      <c r="W67" s="2"/>
      <c r="X67" s="6">
        <f t="shared" si="46"/>
        <v>-29200.769999999997</v>
      </c>
      <c r="Y67" s="2"/>
      <c r="Z67" s="7">
        <f t="shared" si="47"/>
        <v>0</v>
      </c>
    </row>
    <row r="68" spans="1:26" s="24" customFormat="1" hidden="1" outlineLevel="2" x14ac:dyDescent="0.25">
      <c r="A68" s="28"/>
      <c r="B68" s="11" t="str">
        <f>CONCATENATE("          ", "6246", " - ", "REPLACEMENTS")</f>
        <v xml:space="preserve">          6246 - REPLACEMENTS</v>
      </c>
      <c r="C68" s="11"/>
      <c r="D68" s="6"/>
      <c r="E68" s="2"/>
      <c r="F68" s="7">
        <f t="shared" si="40"/>
        <v>0</v>
      </c>
      <c r="G68" s="2"/>
      <c r="H68" s="6">
        <v>0</v>
      </c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/>
      <c r="Q68" s="2"/>
      <c r="R68" s="7">
        <f t="shared" si="44"/>
        <v>0</v>
      </c>
      <c r="S68" s="2"/>
      <c r="T68" s="6">
        <v>0</v>
      </c>
      <c r="U68" s="2"/>
      <c r="V68" s="7">
        <f t="shared" si="45"/>
        <v>0</v>
      </c>
      <c r="W68" s="2"/>
      <c r="X68" s="6">
        <f t="shared" si="46"/>
        <v>0</v>
      </c>
      <c r="Y68" s="2"/>
      <c r="Z68" s="7">
        <f t="shared" si="47"/>
        <v>0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6"/>
      <c r="E69" s="2"/>
      <c r="F69" s="7">
        <f t="shared" si="40"/>
        <v>0</v>
      </c>
      <c r="G69" s="2"/>
      <c r="H69" s="6">
        <v>0</v>
      </c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/>
      <c r="Q70" s="2"/>
      <c r="R70" s="7">
        <f t="shared" si="44"/>
        <v>0</v>
      </c>
      <c r="S70" s="2"/>
      <c r="T70" s="6">
        <v>0</v>
      </c>
      <c r="U70" s="2"/>
      <c r="V70" s="7">
        <f t="shared" si="45"/>
        <v>0</v>
      </c>
      <c r="W70" s="2"/>
      <c r="X70" s="6">
        <f t="shared" si="46"/>
        <v>0</v>
      </c>
      <c r="Y70" s="2"/>
      <c r="Z70" s="7">
        <f t="shared" si="47"/>
        <v>0</v>
      </c>
    </row>
    <row r="71" spans="1:26" s="29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SUM(OSRRefD22_12x_0)</f>
        <v>143.1</v>
      </c>
      <c r="E71" s="1"/>
      <c r="F71" s="5">
        <f t="shared" ref="F71:F76" si="48">IF(D$12=0,0,D71/D$12)</f>
        <v>0</v>
      </c>
      <c r="G71" s="1"/>
      <c r="H71" s="1">
        <f>SUM(OSRRefH22_12x_0)</f>
        <v>50</v>
      </c>
      <c r="I71" s="1"/>
      <c r="J71" s="5">
        <f t="shared" ref="J71:J76" si="49">IF(H$12=0,0,H71/H$12)</f>
        <v>0</v>
      </c>
      <c r="K71" s="1"/>
      <c r="L71" s="1">
        <f t="shared" ref="L71:L76" si="50">+D71-H71</f>
        <v>93.1</v>
      </c>
      <c r="M71" s="1"/>
      <c r="N71" s="5">
        <f t="shared" ref="N71:N76" si="51">IF(H71=0,0,L71/H71)</f>
        <v>1.8619999999999999</v>
      </c>
      <c r="O71" s="14"/>
      <c r="P71" s="1">
        <f>SUM(OSRRefP22_12x_0)</f>
        <v>1243.43</v>
      </c>
      <c r="Q71" s="1"/>
      <c r="R71" s="5">
        <f t="shared" ref="R71:R76" si="52">IF(P$12=0,0,P71/P$12)</f>
        <v>0</v>
      </c>
      <c r="S71" s="1"/>
      <c r="T71" s="1">
        <f>SUM(OSRRefT22_12x_0)</f>
        <v>250</v>
      </c>
      <c r="U71" s="1"/>
      <c r="V71" s="5">
        <f t="shared" ref="V71:V76" si="53">IF(T$12=0,0,T71/T$12)</f>
        <v>0</v>
      </c>
      <c r="W71" s="1"/>
      <c r="X71" s="1">
        <f t="shared" ref="X71:X76" si="54">+P71-T71</f>
        <v>993.43000000000006</v>
      </c>
      <c r="Y71" s="1"/>
      <c r="Z71" s="5">
        <f t="shared" ref="Z71:Z76" si="55">IF(T71=0,0,X71/T71)</f>
        <v>3.9737200000000001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6">
        <v>143.1</v>
      </c>
      <c r="E72" s="2"/>
      <c r="F72" s="7">
        <f t="shared" si="48"/>
        <v>0</v>
      </c>
      <c r="G72" s="2"/>
      <c r="H72" s="6">
        <v>50</v>
      </c>
      <c r="I72" s="2"/>
      <c r="J72" s="7">
        <f t="shared" si="49"/>
        <v>0</v>
      </c>
      <c r="K72" s="2"/>
      <c r="L72" s="6">
        <f t="shared" si="50"/>
        <v>93.1</v>
      </c>
      <c r="M72" s="2"/>
      <c r="N72" s="7">
        <f t="shared" si="51"/>
        <v>1.8619999999999999</v>
      </c>
      <c r="O72" s="11"/>
      <c r="P72" s="6">
        <v>1243.43</v>
      </c>
      <c r="Q72" s="2"/>
      <c r="R72" s="7">
        <f t="shared" si="52"/>
        <v>0</v>
      </c>
      <c r="S72" s="2"/>
      <c r="T72" s="6">
        <v>250</v>
      </c>
      <c r="U72" s="2"/>
      <c r="V72" s="7">
        <f t="shared" si="53"/>
        <v>0</v>
      </c>
      <c r="W72" s="2"/>
      <c r="X72" s="6">
        <f t="shared" si="54"/>
        <v>993.43000000000006</v>
      </c>
      <c r="Y72" s="2"/>
      <c r="Z72" s="7">
        <f t="shared" si="55"/>
        <v>3.9737200000000001</v>
      </c>
    </row>
    <row r="73" spans="1:26" s="29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4"/>
      <c r="P73" s="1">
        <f>SUM(OSRRefP22_13x_0)</f>
        <v>332.21</v>
      </c>
      <c r="Q73" s="1"/>
      <c r="R73" s="5">
        <f t="shared" si="52"/>
        <v>0</v>
      </c>
      <c r="S73" s="1"/>
      <c r="T73" s="1">
        <f>SUM(OSRRefT22_13x_0)</f>
        <v>0</v>
      </c>
      <c r="U73" s="1"/>
      <c r="V73" s="5">
        <f t="shared" si="53"/>
        <v>0</v>
      </c>
      <c r="W73" s="1"/>
      <c r="X73" s="1">
        <f t="shared" si="54"/>
        <v>332.21</v>
      </c>
      <c r="Y73" s="1"/>
      <c r="Z73" s="5">
        <f t="shared" si="55"/>
        <v>0</v>
      </c>
    </row>
    <row r="74" spans="1:26" s="24" customFormat="1" hidden="1" outlineLevel="2" x14ac:dyDescent="0.25">
      <c r="A74" s="28"/>
      <c r="B74" s="11" t="str">
        <f>CONCATENATE("          ", "6298", " - ", "VEHICLE MILEAGE")</f>
        <v xml:space="preserve">          6298 - VEHICLE MILEAGE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332.21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332.21</v>
      </c>
      <c r="Y74" s="2"/>
      <c r="Z74" s="7">
        <f t="shared" si="55"/>
        <v>0</v>
      </c>
    </row>
    <row r="75" spans="1:26" s="29" customFormat="1" outlineLevel="1" collapsed="1" x14ac:dyDescent="0.2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SUM(OSRRefD22_14x_0)</f>
        <v>1000</v>
      </c>
      <c r="E75" s="1"/>
      <c r="F75" s="5">
        <f t="shared" si="48"/>
        <v>0</v>
      </c>
      <c r="G75" s="1"/>
      <c r="H75" s="1">
        <f>SUM(OSRRefH22_14x_0)</f>
        <v>1000</v>
      </c>
      <c r="I75" s="1"/>
      <c r="J75" s="5">
        <f t="shared" si="49"/>
        <v>0</v>
      </c>
      <c r="K75" s="1"/>
      <c r="L75" s="1">
        <f t="shared" si="50"/>
        <v>0</v>
      </c>
      <c r="M75" s="1"/>
      <c r="N75" s="5">
        <f t="shared" si="51"/>
        <v>0</v>
      </c>
      <c r="O75" s="14"/>
      <c r="P75" s="1">
        <f>SUM(OSRRefP22_14x_0)</f>
        <v>-14876</v>
      </c>
      <c r="Q75" s="1"/>
      <c r="R75" s="5">
        <f t="shared" si="52"/>
        <v>0</v>
      </c>
      <c r="S75" s="1"/>
      <c r="T75" s="1">
        <f>SUM(OSRRefT22_14x_0)</f>
        <v>5000</v>
      </c>
      <c r="U75" s="1"/>
      <c r="V75" s="5">
        <f t="shared" si="53"/>
        <v>0</v>
      </c>
      <c r="W75" s="1"/>
      <c r="X75" s="1">
        <f t="shared" si="54"/>
        <v>-19876</v>
      </c>
      <c r="Y75" s="1"/>
      <c r="Z75" s="5">
        <f t="shared" si="55"/>
        <v>-3.9752000000000001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6">
        <v>1000</v>
      </c>
      <c r="E76" s="2"/>
      <c r="F76" s="7">
        <f t="shared" si="48"/>
        <v>0</v>
      </c>
      <c r="G76" s="2"/>
      <c r="H76" s="6">
        <v>1000</v>
      </c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-14876</v>
      </c>
      <c r="Q76" s="2"/>
      <c r="R76" s="7">
        <f t="shared" si="52"/>
        <v>0</v>
      </c>
      <c r="S76" s="2"/>
      <c r="T76" s="6">
        <v>5000</v>
      </c>
      <c r="U76" s="2"/>
      <c r="V76" s="7">
        <f t="shared" si="53"/>
        <v>0</v>
      </c>
      <c r="W76" s="2"/>
      <c r="X76" s="6">
        <f t="shared" si="54"/>
        <v>-19876</v>
      </c>
      <c r="Y76" s="2"/>
      <c r="Z76" s="7">
        <f t="shared" si="55"/>
        <v>-3.9752000000000001</v>
      </c>
    </row>
    <row r="77" spans="1:26" s="62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6" t="s">
        <v>0</v>
      </c>
      <c r="C78" s="10"/>
      <c r="D78" s="4">
        <f>SUM(OSRRefD25x_0)</f>
        <v>0</v>
      </c>
      <c r="E78" s="4"/>
      <c r="F78" s="12">
        <f t="shared" ref="F78:F80" si="56">IF(D$12=0,0,D78/D$12)</f>
        <v>0</v>
      </c>
      <c r="G78" s="4"/>
      <c r="H78" s="4">
        <f>SUM(OSRRefH25x_0)</f>
        <v>0</v>
      </c>
      <c r="I78" s="4"/>
      <c r="J78" s="12">
        <f t="shared" ref="J78:J80" si="57">IF(H$12=0,0,H78/H$12)</f>
        <v>0</v>
      </c>
      <c r="K78" s="4"/>
      <c r="L78" s="4">
        <f t="shared" ref="L78:L80" si="58">+D78-H78</f>
        <v>0</v>
      </c>
      <c r="M78" s="4"/>
      <c r="N78" s="12">
        <f t="shared" ref="N78:N80" si="59">IF(H78=0,0,L78/H78)</f>
        <v>0</v>
      </c>
      <c r="O78" s="10"/>
      <c r="P78" s="4">
        <f>SUM(OSRRefP25x_0)</f>
        <v>1438.78</v>
      </c>
      <c r="Q78" s="4"/>
      <c r="R78" s="12">
        <f t="shared" ref="R78:R80" si="60">IF(P$12=0,0,P78/P$12)</f>
        <v>0</v>
      </c>
      <c r="S78" s="4"/>
      <c r="T78" s="4">
        <f>SUM(OSRRefT25x_0)</f>
        <v>0</v>
      </c>
      <c r="U78" s="4"/>
      <c r="V78" s="12">
        <f t="shared" ref="V78:V80" si="61">IF(T$12=0,0,T78/T$12)</f>
        <v>0</v>
      </c>
      <c r="W78" s="4"/>
      <c r="X78" s="4">
        <f t="shared" ref="X78:X80" si="62">+P78-T78</f>
        <v>1438.78</v>
      </c>
      <c r="Y78" s="4"/>
      <c r="Z78" s="12">
        <f t="shared" ref="Z78:Z80" si="63">IF(T78=0,0,X78/T78)</f>
        <v>0</v>
      </c>
    </row>
    <row r="79" spans="1:26" s="24" customFormat="1" hidden="1" outlineLevel="1" x14ac:dyDescent="0.25">
      <c r="A79" s="51"/>
      <c r="B79" s="11" t="str">
        <f>CONCATENATE("          ", "9150", " - ", "MISC. INCOME")</f>
        <v xml:space="preserve">          9150 - MISC. INCOME</v>
      </c>
      <c r="C79" s="11"/>
      <c r="D79" s="2">
        <f t="shared" ref="D79:D80" si="64">0</f>
        <v>0</v>
      </c>
      <c r="E79" s="2"/>
      <c r="F79" s="22">
        <f t="shared" si="56"/>
        <v>0</v>
      </c>
      <c r="G79" s="2"/>
      <c r="H79" s="2">
        <v>0</v>
      </c>
      <c r="I79" s="2"/>
      <c r="J79" s="22">
        <f t="shared" si="57"/>
        <v>0</v>
      </c>
      <c r="K79" s="2"/>
      <c r="L79" s="2">
        <f t="shared" si="58"/>
        <v>0</v>
      </c>
      <c r="M79" s="2"/>
      <c r="N79" s="22">
        <f t="shared" si="59"/>
        <v>0</v>
      </c>
      <c r="O79" s="11"/>
      <c r="P79" s="2">
        <f>--812.35</f>
        <v>812.35</v>
      </c>
      <c r="Q79" s="2"/>
      <c r="R79" s="22">
        <f t="shared" si="60"/>
        <v>0</v>
      </c>
      <c r="S79" s="2"/>
      <c r="T79" s="2">
        <v>0</v>
      </c>
      <c r="U79" s="2"/>
      <c r="V79" s="22">
        <f t="shared" si="61"/>
        <v>0</v>
      </c>
      <c r="W79" s="2"/>
      <c r="X79" s="2">
        <f t="shared" si="62"/>
        <v>812.35</v>
      </c>
      <c r="Y79" s="2"/>
      <c r="Z79" s="22">
        <f t="shared" si="63"/>
        <v>0</v>
      </c>
    </row>
    <row r="80" spans="1:26" s="24" customFormat="1" hidden="1" outlineLevel="1" x14ac:dyDescent="0.25">
      <c r="A80" s="51"/>
      <c r="B80" s="11" t="str">
        <f>CONCATENATE("          ", "9160", " - ", "MISC. INCOME")</f>
        <v xml:space="preserve">          9160 - MISC. INCOME</v>
      </c>
      <c r="C80" s="11"/>
      <c r="D80" s="2">
        <f t="shared" si="64"/>
        <v>0</v>
      </c>
      <c r="E80" s="2"/>
      <c r="F80" s="22">
        <f t="shared" si="56"/>
        <v>0</v>
      </c>
      <c r="G80" s="2"/>
      <c r="H80" s="2"/>
      <c r="I80" s="2"/>
      <c r="J80" s="22">
        <f t="shared" si="57"/>
        <v>0</v>
      </c>
      <c r="K80" s="2"/>
      <c r="L80" s="2">
        <f t="shared" si="58"/>
        <v>0</v>
      </c>
      <c r="M80" s="2"/>
      <c r="N80" s="22">
        <f t="shared" si="59"/>
        <v>0</v>
      </c>
      <c r="O80" s="11"/>
      <c r="P80" s="2">
        <f>--626.43</f>
        <v>626.42999999999995</v>
      </c>
      <c r="Q80" s="2"/>
      <c r="R80" s="22">
        <f t="shared" si="60"/>
        <v>0</v>
      </c>
      <c r="S80" s="2"/>
      <c r="T80" s="2"/>
      <c r="U80" s="2"/>
      <c r="V80" s="22">
        <f t="shared" si="61"/>
        <v>0</v>
      </c>
      <c r="W80" s="2"/>
      <c r="X80" s="2">
        <f t="shared" si="62"/>
        <v>626.42999999999995</v>
      </c>
      <c r="Y80" s="2"/>
      <c r="Z80" s="22">
        <f t="shared" si="63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3</v>
      </c>
      <c r="C82" s="25"/>
      <c r="D82" s="21">
        <f>+D16-D18+D78</f>
        <v>-35067.669999999991</v>
      </c>
      <c r="E82" s="13"/>
      <c r="F82" s="20">
        <f>IF(D$12=0,0,D82/D$12)</f>
        <v>0</v>
      </c>
      <c r="G82" s="13"/>
      <c r="H82" s="21">
        <f>+H16-H18+H78</f>
        <v>-17793.461538461539</v>
      </c>
      <c r="I82" s="13"/>
      <c r="J82" s="20">
        <f>IF(H$12=0,0,H82/H$12)</f>
        <v>0</v>
      </c>
      <c r="K82" s="16"/>
      <c r="L82" s="21">
        <f>+D82-H82</f>
        <v>-17274.208461538452</v>
      </c>
      <c r="M82" s="16"/>
      <c r="N82" s="20">
        <f>IF(H82=0,0,L82/H82)</f>
        <v>0.97081775933251135</v>
      </c>
      <c r="O82" s="26"/>
      <c r="P82" s="21">
        <f>+P16-P18+P78</f>
        <v>-117760.61000000002</v>
      </c>
      <c r="Q82" s="13"/>
      <c r="R82" s="20">
        <f>IF(P$12=0,0,P82/P$12)</f>
        <v>0</v>
      </c>
      <c r="S82" s="13"/>
      <c r="T82" s="21">
        <f>+T16-T18+T78</f>
        <v>-88192.538461538468</v>
      </c>
      <c r="U82" s="13"/>
      <c r="V82" s="20">
        <f>IF(T$12=0,0,T82/T$12)</f>
        <v>0</v>
      </c>
      <c r="W82" s="16"/>
      <c r="X82" s="21">
        <f>+P82-T82</f>
        <v>-29568.071538461547</v>
      </c>
      <c r="Y82" s="16"/>
      <c r="Z82" s="20">
        <f>IF(T82=0,0,X82/T82)</f>
        <v>0.33526726925267536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/>
      <c r="E84" s="4"/>
      <c r="F84" s="12">
        <f>IF(D$12=0,0,D84/D$12)</f>
        <v>0</v>
      </c>
      <c r="G84" s="4"/>
      <c r="H84" s="4"/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/>
      <c r="Q84" s="4"/>
      <c r="R84" s="12">
        <f>IF(P$12=0,0,P84/P$12)</f>
        <v>0</v>
      </c>
      <c r="S84" s="4"/>
      <c r="T84" s="4"/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4</v>
      </c>
      <c r="C86" s="25"/>
      <c r="D86" s="31">
        <f>+D82-D84</f>
        <v>-35067.669999999991</v>
      </c>
      <c r="E86" s="13"/>
      <c r="F86" s="34">
        <f>IF(D$12=0,0,D86/D$12)</f>
        <v>0</v>
      </c>
      <c r="G86" s="13"/>
      <c r="H86" s="31">
        <f>+H82-H84</f>
        <v>-17793.461538461539</v>
      </c>
      <c r="I86" s="13"/>
      <c r="J86" s="34">
        <f>IF(H$12=0,0,H86/H$12)</f>
        <v>0</v>
      </c>
      <c r="K86" s="16"/>
      <c r="L86" s="31">
        <f>D86-H86</f>
        <v>-17274.208461538452</v>
      </c>
      <c r="M86" s="16"/>
      <c r="N86" s="34">
        <f>IF(H86=0,0,L86/H86)</f>
        <v>0.97081775933251135</v>
      </c>
      <c r="O86" s="26"/>
      <c r="P86" s="31">
        <f>+P82-P84</f>
        <v>-117760.61000000002</v>
      </c>
      <c r="Q86" s="13"/>
      <c r="R86" s="34">
        <f>IF(P$12=0,0,P86/P$12)</f>
        <v>0</v>
      </c>
      <c r="S86" s="13"/>
      <c r="T86" s="31">
        <f>+T82-T84</f>
        <v>-88192.538461538468</v>
      </c>
      <c r="U86" s="13"/>
      <c r="V86" s="34">
        <f>IF(T$12=0,0,T86/T$12)</f>
        <v>0</v>
      </c>
      <c r="W86" s="16"/>
      <c r="X86" s="31">
        <f>P86-T86</f>
        <v>-29568.071538461547</v>
      </c>
      <c r="Y86" s="16"/>
      <c r="Z86" s="34">
        <f>IF(T86=0,0,X86/T86)</f>
        <v>0.33526726925267536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5</v>
      </c>
      <c r="C89" s="25"/>
      <c r="D89" s="33">
        <f>SUM(D86:D88)</f>
        <v>-35067.669999999991</v>
      </c>
      <c r="E89" s="13"/>
      <c r="F89" s="30">
        <f>IF(D$12=0,0,D89/D$12)</f>
        <v>0</v>
      </c>
      <c r="G89" s="13"/>
      <c r="H89" s="33">
        <f>SUM(H86:H88)</f>
        <v>-17793.461538461539</v>
      </c>
      <c r="I89" s="13"/>
      <c r="J89" s="30">
        <f>IF(H$12=0,0,H89/H$12)</f>
        <v>0</v>
      </c>
      <c r="K89" s="16"/>
      <c r="L89" s="33">
        <f>+D89-H89</f>
        <v>-17274.208461538452</v>
      </c>
      <c r="M89" s="16"/>
      <c r="N89" s="30">
        <f>IF(H89=0,0,L89/H89)</f>
        <v>0.97081775933251135</v>
      </c>
      <c r="O89" s="26"/>
      <c r="P89" s="33">
        <f>SUM(P86:P88)</f>
        <v>-117760.61000000002</v>
      </c>
      <c r="Q89" s="13"/>
      <c r="R89" s="30">
        <f>IF(P$12=0,0,P89/P$12)</f>
        <v>0</v>
      </c>
      <c r="S89" s="13"/>
      <c r="T89" s="33">
        <f>SUM(T86:T88)</f>
        <v>-88192.538461538468</v>
      </c>
      <c r="U89" s="13"/>
      <c r="V89" s="30">
        <f>IF(T$12=0,0,T89/T$12)</f>
        <v>0</v>
      </c>
      <c r="W89" s="16"/>
      <c r="X89" s="33">
        <f>+P89-T89</f>
        <v>-29568.071538461547</v>
      </c>
      <c r="Y89" s="16"/>
      <c r="Z89" s="30">
        <f>IF(T89=0,0,X89/T89)</f>
        <v>0.33526726925267536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5">
        <v>44174.679910567131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7" t="s">
        <v>314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3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6"/>
      <c r="L18" s="21">
        <f>+D18-H18</f>
        <v>0</v>
      </c>
      <c r="M18" s="16"/>
      <c r="N18" s="20">
        <f>IF(H18=0,0,L18/H18)</f>
        <v>0</v>
      </c>
      <c r="O18" s="26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6"/>
      <c r="X18" s="21">
        <f>+P18-T18</f>
        <v>0</v>
      </c>
      <c r="Y18" s="16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>
        <f>SUM(OSRRefD22x_0)</f>
        <v>1951.4900000000002</v>
      </c>
      <c r="E20" s="19"/>
      <c r="F20" s="35">
        <f t="shared" ref="F20:F29" si="12">IF(D$12=0,0,D20/D$12)</f>
        <v>0</v>
      </c>
      <c r="G20" s="19"/>
      <c r="H20" s="19">
        <f>SUM(OSRRefH22x_0)</f>
        <v>848</v>
      </c>
      <c r="I20" s="19"/>
      <c r="J20" s="35">
        <f t="shared" ref="J20:J29" si="13">IF(H$12=0,0,H20/H$12)</f>
        <v>0</v>
      </c>
      <c r="K20" s="4"/>
      <c r="L20" s="19">
        <f t="shared" ref="L20:L29" si="14">+D20-H20</f>
        <v>1103.4900000000002</v>
      </c>
      <c r="M20" s="4"/>
      <c r="N20" s="35">
        <f t="shared" ref="N20:N29" si="15">IF(H20=0,0,L20/H20)</f>
        <v>1.3012853773584909</v>
      </c>
      <c r="O20" s="10"/>
      <c r="P20" s="19">
        <f>SUM(OSRRefP22x_0)</f>
        <v>5375.57</v>
      </c>
      <c r="Q20" s="19"/>
      <c r="R20" s="35">
        <f t="shared" ref="R20:R29" si="16">IF(P$12=0,0,P20/P$12)</f>
        <v>0</v>
      </c>
      <c r="S20" s="19"/>
      <c r="T20" s="19">
        <f>SUM(OSRRefT22x_0)</f>
        <v>4240</v>
      </c>
      <c r="U20" s="19"/>
      <c r="V20" s="35">
        <f t="shared" ref="V20:V29" si="17">IF(T$12=0,0,T20/T$12)</f>
        <v>0</v>
      </c>
      <c r="W20" s="4"/>
      <c r="X20" s="19">
        <f t="shared" ref="X20:X29" si="18">+P20-T20</f>
        <v>1135.5699999999997</v>
      </c>
      <c r="Y20" s="4"/>
      <c r="Z20" s="35">
        <f t="shared" ref="Z20:Z29" si="19">IF(T20=0,0,X20/T20)</f>
        <v>0.26782311320754709</v>
      </c>
    </row>
    <row r="21" spans="1:26" s="29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8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8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8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8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8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8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9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8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9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9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9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4"/>
      <c r="P45" s="1">
        <f>SUM(OSRRefP22_4x_0)</f>
        <v>3225.79</v>
      </c>
      <c r="Q45" s="1"/>
      <c r="R45" s="5">
        <f t="shared" si="32"/>
        <v>0</v>
      </c>
      <c r="S45" s="1"/>
      <c r="T45" s="1">
        <f>SUM(OSRRefT22_4x_0)</f>
        <v>4240</v>
      </c>
      <c r="U45" s="1"/>
      <c r="V45" s="5">
        <f t="shared" si="33"/>
        <v>0</v>
      </c>
      <c r="W45" s="1"/>
      <c r="X45" s="1">
        <f t="shared" si="34"/>
        <v>-1014.21</v>
      </c>
      <c r="Y45" s="1"/>
      <c r="Z45" s="5">
        <f t="shared" si="35"/>
        <v>-0.2392004716981132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577.36</v>
      </c>
      <c r="E46" s="2"/>
      <c r="F46" s="7">
        <f t="shared" si="28"/>
        <v>0</v>
      </c>
      <c r="G46" s="2"/>
      <c r="H46" s="6">
        <v>298</v>
      </c>
      <c r="I46" s="2"/>
      <c r="J46" s="7">
        <f t="shared" si="29"/>
        <v>0</v>
      </c>
      <c r="K46" s="2"/>
      <c r="L46" s="6">
        <f t="shared" si="30"/>
        <v>279.36</v>
      </c>
      <c r="M46" s="2"/>
      <c r="N46" s="7">
        <f t="shared" si="31"/>
        <v>0.93744966442953026</v>
      </c>
      <c r="O46" s="11"/>
      <c r="P46" s="6">
        <v>3225.79</v>
      </c>
      <c r="Q46" s="2"/>
      <c r="R46" s="7">
        <f t="shared" si="32"/>
        <v>0</v>
      </c>
      <c r="S46" s="2"/>
      <c r="T46" s="6">
        <v>1490</v>
      </c>
      <c r="U46" s="2"/>
      <c r="V46" s="7">
        <f t="shared" si="33"/>
        <v>0</v>
      </c>
      <c r="W46" s="2"/>
      <c r="X46" s="6">
        <f t="shared" si="34"/>
        <v>1735.79</v>
      </c>
      <c r="Y46" s="2"/>
      <c r="Z46" s="7">
        <f t="shared" si="35"/>
        <v>1.1649597315436242</v>
      </c>
    </row>
    <row r="47" spans="1:26" s="24" customFormat="1" hidden="1" outlineLevel="2" x14ac:dyDescent="0.25">
      <c r="A47" s="28"/>
      <c r="B47" s="11" t="str">
        <f>CONCATENATE("          ", "6326", " - ", "VEHICLES DEPRECIATION EXPENSE")</f>
        <v xml:space="preserve">          6326 - VEHICLES DEPRECIATION EXPENSE</v>
      </c>
      <c r="C47" s="11"/>
      <c r="D47" s="6"/>
      <c r="E47" s="2"/>
      <c r="F47" s="7">
        <f t="shared" si="28"/>
        <v>0</v>
      </c>
      <c r="G47" s="2"/>
      <c r="H47" s="6">
        <v>550</v>
      </c>
      <c r="I47" s="2"/>
      <c r="J47" s="7">
        <f t="shared" si="29"/>
        <v>0</v>
      </c>
      <c r="K47" s="2"/>
      <c r="L47" s="6">
        <f t="shared" si="30"/>
        <v>-550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2750</v>
      </c>
      <c r="U47" s="2"/>
      <c r="V47" s="7">
        <f t="shared" si="33"/>
        <v>0</v>
      </c>
      <c r="W47" s="2"/>
      <c r="X47" s="6">
        <f t="shared" si="34"/>
        <v>-2750</v>
      </c>
      <c r="Y47" s="2"/>
      <c r="Z47" s="7">
        <f t="shared" si="35"/>
        <v>-1</v>
      </c>
    </row>
    <row r="48" spans="1:26" s="29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0</v>
      </c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/>
      <c r="Q49" s="2"/>
      <c r="R49" s="7">
        <f t="shared" si="40"/>
        <v>0</v>
      </c>
      <c r="S49" s="2"/>
      <c r="T49" s="6">
        <v>0</v>
      </c>
      <c r="U49" s="2"/>
      <c r="V49" s="7">
        <f t="shared" si="41"/>
        <v>0</v>
      </c>
      <c r="W49" s="2"/>
      <c r="X49" s="6">
        <f t="shared" si="42"/>
        <v>0</v>
      </c>
      <c r="Y49" s="2"/>
      <c r="Z49" s="7">
        <f t="shared" si="43"/>
        <v>0</v>
      </c>
    </row>
    <row r="50" spans="1:26" s="29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6"/>
        <v>0</v>
      </c>
      <c r="G51" s="2"/>
      <c r="H51" s="6">
        <v>0</v>
      </c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>
        <v>16.239999999999998</v>
      </c>
      <c r="Q51" s="2"/>
      <c r="R51" s="7">
        <f t="shared" si="40"/>
        <v>0</v>
      </c>
      <c r="S51" s="2"/>
      <c r="T51" s="6">
        <v>0</v>
      </c>
      <c r="U51" s="2"/>
      <c r="V51" s="7">
        <f t="shared" si="41"/>
        <v>0</v>
      </c>
      <c r="W51" s="2"/>
      <c r="X51" s="6">
        <f t="shared" si="42"/>
        <v>16.239999999999998</v>
      </c>
      <c r="Y51" s="2"/>
      <c r="Z51" s="7">
        <f t="shared" si="43"/>
        <v>0</v>
      </c>
    </row>
    <row r="52" spans="1:26" s="29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0</v>
      </c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0</v>
      </c>
      <c r="U53" s="2"/>
      <c r="V53" s="7">
        <f t="shared" si="41"/>
        <v>0</v>
      </c>
      <c r="W53" s="2"/>
      <c r="X53" s="6">
        <f t="shared" si="42"/>
        <v>0</v>
      </c>
      <c r="Y53" s="2"/>
      <c r="Z53" s="7">
        <f t="shared" si="43"/>
        <v>0</v>
      </c>
    </row>
    <row r="54" spans="1:26" s="29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1338.13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1338.13</v>
      </c>
      <c r="M54" s="1"/>
      <c r="N54" s="5">
        <f t="shared" si="39"/>
        <v>0</v>
      </c>
      <c r="O54" s="14"/>
      <c r="P54" s="1">
        <f>SUM(OSRRefP22_8x_0)</f>
        <v>1555.93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1555.93</v>
      </c>
      <c r="Y54" s="1"/>
      <c r="Z54" s="5">
        <f t="shared" si="43"/>
        <v>0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>
        <v>217.8</v>
      </c>
      <c r="Q55" s="2"/>
      <c r="R55" s="7">
        <f t="shared" si="40"/>
        <v>0</v>
      </c>
      <c r="S55" s="2"/>
      <c r="T55" s="6"/>
      <c r="U55" s="2"/>
      <c r="V55" s="7">
        <f t="shared" si="41"/>
        <v>0</v>
      </c>
      <c r="W55" s="2"/>
      <c r="X55" s="6">
        <f t="shared" si="42"/>
        <v>217.8</v>
      </c>
      <c r="Y55" s="2"/>
      <c r="Z55" s="7">
        <f t="shared" si="43"/>
        <v>0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1338.13</v>
      </c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1338.13</v>
      </c>
      <c r="M56" s="2"/>
      <c r="N56" s="7">
        <f t="shared" si="39"/>
        <v>0</v>
      </c>
      <c r="O56" s="11"/>
      <c r="P56" s="6">
        <v>1338.13</v>
      </c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1338.13</v>
      </c>
      <c r="Y56" s="2"/>
      <c r="Z56" s="7">
        <f t="shared" si="43"/>
        <v>0</v>
      </c>
    </row>
    <row r="57" spans="1:26" s="29" customFormat="1" outlineLevel="1" collapsed="1" x14ac:dyDescent="0.2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8"/>
      <c r="B58" s="11" t="str">
        <f>CONCATENATE("          ", "6254", " - ", "ROYALTY &amp; COMMISSIONS")</f>
        <v xml:space="preserve">          6254 - ROYALTY &amp; COMMISSIONS</v>
      </c>
      <c r="C58" s="11"/>
      <c r="D58" s="6"/>
      <c r="E58" s="2"/>
      <c r="F58" s="7">
        <f t="shared" si="44"/>
        <v>0</v>
      </c>
      <c r="G58" s="2"/>
      <c r="H58" s="6">
        <v>0</v>
      </c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0</v>
      </c>
      <c r="U58" s="2"/>
      <c r="V58" s="7">
        <f t="shared" si="49"/>
        <v>0</v>
      </c>
      <c r="W58" s="2"/>
      <c r="X58" s="6">
        <f t="shared" si="50"/>
        <v>0</v>
      </c>
      <c r="Y58" s="2"/>
      <c r="Z58" s="7">
        <f t="shared" si="51"/>
        <v>0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4"/>
        <v>0</v>
      </c>
      <c r="G60" s="2"/>
      <c r="H60" s="6">
        <v>0</v>
      </c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0</v>
      </c>
      <c r="U60" s="2"/>
      <c r="V60" s="7">
        <f t="shared" si="49"/>
        <v>0</v>
      </c>
      <c r="W60" s="2"/>
      <c r="X60" s="6">
        <f t="shared" si="50"/>
        <v>0</v>
      </c>
      <c r="Y60" s="2"/>
      <c r="Z60" s="7">
        <f t="shared" si="51"/>
        <v>0</v>
      </c>
    </row>
    <row r="61" spans="1:26" s="24" customFormat="1" hidden="1" outlineLevel="2" x14ac:dyDescent="0.25">
      <c r="A61" s="28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8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44"/>
        <v>0</v>
      </c>
      <c r="G62" s="2"/>
      <c r="H62" s="6">
        <v>0</v>
      </c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4" customFormat="1" hidden="1" outlineLevel="2" x14ac:dyDescent="0.25">
      <c r="A63" s="28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4"/>
        <v>0</v>
      </c>
      <c r="G63" s="2"/>
      <c r="H63" s="6">
        <v>0</v>
      </c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320.58</v>
      </c>
      <c r="Q63" s="2"/>
      <c r="R63" s="7">
        <f t="shared" si="48"/>
        <v>0</v>
      </c>
      <c r="S63" s="2"/>
      <c r="T63" s="6">
        <v>0</v>
      </c>
      <c r="U63" s="2"/>
      <c r="V63" s="7">
        <f t="shared" si="49"/>
        <v>0</v>
      </c>
      <c r="W63" s="2"/>
      <c r="X63" s="6">
        <f t="shared" si="50"/>
        <v>320.58</v>
      </c>
      <c r="Y63" s="2"/>
      <c r="Z63" s="7">
        <f t="shared" si="51"/>
        <v>0</v>
      </c>
    </row>
    <row r="64" spans="1:26" s="29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8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2"/>
        <v>0</v>
      </c>
      <c r="G65" s="2"/>
      <c r="H65" s="6">
        <v>0</v>
      </c>
      <c r="I65" s="2"/>
      <c r="J65" s="7">
        <f t="shared" si="53"/>
        <v>0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/>
      <c r="Q65" s="2"/>
      <c r="R65" s="7">
        <f t="shared" si="56"/>
        <v>0</v>
      </c>
      <c r="S65" s="2"/>
      <c r="T65" s="6">
        <v>0</v>
      </c>
      <c r="U65" s="2"/>
      <c r="V65" s="7">
        <f t="shared" si="57"/>
        <v>0</v>
      </c>
      <c r="W65" s="2"/>
      <c r="X65" s="6">
        <f t="shared" si="58"/>
        <v>0</v>
      </c>
      <c r="Y65" s="2"/>
      <c r="Z65" s="7">
        <f t="shared" si="59"/>
        <v>0</v>
      </c>
    </row>
    <row r="66" spans="1:26" s="24" customFormat="1" hidden="1" outlineLevel="2" x14ac:dyDescent="0.25">
      <c r="A66" s="28"/>
      <c r="B66" s="11" t="str">
        <f>CONCATENATE("          ", "6241", " - ", "OFFICE EXPENSE")</f>
        <v xml:space="preserve">          6241 - OFFICE EXPENSE</v>
      </c>
      <c r="C66" s="11"/>
      <c r="D66" s="6"/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24" customFormat="1" hidden="1" outlineLevel="2" x14ac:dyDescent="0.25">
      <c r="A67" s="28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52"/>
        <v>0</v>
      </c>
      <c r="G67" s="2"/>
      <c r="H67" s="6"/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/>
      <c r="Q67" s="2"/>
      <c r="R67" s="7">
        <f t="shared" si="56"/>
        <v>0</v>
      </c>
      <c r="S67" s="2"/>
      <c r="T67" s="6">
        <v>0</v>
      </c>
      <c r="U67" s="2"/>
      <c r="V67" s="7">
        <f t="shared" si="57"/>
        <v>0</v>
      </c>
      <c r="W67" s="2"/>
      <c r="X67" s="6">
        <f t="shared" si="58"/>
        <v>0</v>
      </c>
      <c r="Y67" s="2"/>
      <c r="Z67" s="7">
        <f t="shared" si="59"/>
        <v>0</v>
      </c>
    </row>
    <row r="68" spans="1:26" s="24" customFormat="1" hidden="1" outlineLevel="2" x14ac:dyDescent="0.25">
      <c r="A68" s="28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52"/>
        <v>0</v>
      </c>
      <c r="G68" s="2"/>
      <c r="H68" s="6">
        <v>0</v>
      </c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/>
      <c r="Q68" s="2"/>
      <c r="R68" s="7">
        <f t="shared" si="56"/>
        <v>0</v>
      </c>
      <c r="S68" s="2"/>
      <c r="T68" s="6">
        <v>0</v>
      </c>
      <c r="U68" s="2"/>
      <c r="V68" s="7">
        <f t="shared" si="57"/>
        <v>0</v>
      </c>
      <c r="W68" s="2"/>
      <c r="X68" s="6">
        <f t="shared" si="58"/>
        <v>0</v>
      </c>
      <c r="Y68" s="2"/>
      <c r="Z68" s="7">
        <f t="shared" si="59"/>
        <v>0</v>
      </c>
    </row>
    <row r="69" spans="1:26" s="24" customFormat="1" hidden="1" outlineLevel="2" x14ac:dyDescent="0.25">
      <c r="A69" s="28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/>
      <c r="Q69" s="2"/>
      <c r="R69" s="7">
        <f t="shared" si="56"/>
        <v>0</v>
      </c>
      <c r="S69" s="2"/>
      <c r="T69" s="6">
        <v>0</v>
      </c>
      <c r="U69" s="2"/>
      <c r="V69" s="7">
        <f t="shared" si="57"/>
        <v>0</v>
      </c>
      <c r="W69" s="2"/>
      <c r="X69" s="6">
        <f t="shared" si="58"/>
        <v>0</v>
      </c>
      <c r="Y69" s="2"/>
      <c r="Z69" s="7">
        <f t="shared" si="59"/>
        <v>0</v>
      </c>
    </row>
    <row r="70" spans="1:26" s="29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4"/>
      <c r="P70" s="1">
        <f>SUM(OSRRefP22_12x_0)</f>
        <v>257.02999999999997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257.02999999999997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8"/>
      <c r="B71" s="11" t="str">
        <f>CONCATENATE("          ", "6303", " - ", "DATA PHONE LINES")</f>
        <v xml:space="preserve">          6303 - DATA PHONE LINES</v>
      </c>
      <c r="C71" s="11"/>
      <c r="D71" s="6"/>
      <c r="E71" s="2"/>
      <c r="F71" s="7">
        <f t="shared" si="60"/>
        <v>0</v>
      </c>
      <c r="G71" s="2"/>
      <c r="H71" s="6">
        <v>0</v>
      </c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/>
      <c r="Q71" s="2"/>
      <c r="R71" s="7">
        <f t="shared" si="64"/>
        <v>0</v>
      </c>
      <c r="S71" s="2"/>
      <c r="T71" s="6">
        <v>0</v>
      </c>
      <c r="U71" s="2"/>
      <c r="V71" s="7">
        <f t="shared" si="65"/>
        <v>0</v>
      </c>
      <c r="W71" s="2"/>
      <c r="X71" s="6">
        <f t="shared" si="66"/>
        <v>0</v>
      </c>
      <c r="Y71" s="2"/>
      <c r="Z71" s="7">
        <f t="shared" si="67"/>
        <v>0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6">
        <v>36</v>
      </c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36</v>
      </c>
      <c r="M72" s="2"/>
      <c r="N72" s="7">
        <f t="shared" si="63"/>
        <v>0</v>
      </c>
      <c r="O72" s="11"/>
      <c r="P72" s="6">
        <v>257.02999999999997</v>
      </c>
      <c r="Q72" s="2"/>
      <c r="R72" s="7">
        <f t="shared" si="64"/>
        <v>0</v>
      </c>
      <c r="S72" s="2"/>
      <c r="T72" s="6"/>
      <c r="U72" s="2"/>
      <c r="V72" s="7">
        <f t="shared" si="65"/>
        <v>0</v>
      </c>
      <c r="W72" s="2"/>
      <c r="X72" s="6">
        <f t="shared" si="66"/>
        <v>257.02999999999997</v>
      </c>
      <c r="Y72" s="2"/>
      <c r="Z72" s="7">
        <f t="shared" si="67"/>
        <v>0</v>
      </c>
    </row>
    <row r="73" spans="1:26" s="29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68"/>
        <v>0</v>
      </c>
      <c r="G74" s="2"/>
      <c r="H74" s="6">
        <v>0</v>
      </c>
      <c r="I74" s="2"/>
      <c r="J74" s="7">
        <f t="shared" si="69"/>
        <v>0</v>
      </c>
      <c r="K74" s="2"/>
      <c r="L74" s="6">
        <f t="shared" si="70"/>
        <v>0</v>
      </c>
      <c r="M74" s="2"/>
      <c r="N74" s="7">
        <f t="shared" si="71"/>
        <v>0</v>
      </c>
      <c r="O74" s="11"/>
      <c r="P74" s="6"/>
      <c r="Q74" s="2"/>
      <c r="R74" s="7">
        <f t="shared" si="72"/>
        <v>0</v>
      </c>
      <c r="S74" s="2"/>
      <c r="T74" s="6">
        <v>0</v>
      </c>
      <c r="U74" s="2"/>
      <c r="V74" s="7">
        <f t="shared" si="73"/>
        <v>0</v>
      </c>
      <c r="W74" s="2"/>
      <c r="X74" s="6">
        <f t="shared" si="74"/>
        <v>0</v>
      </c>
      <c r="Y74" s="2"/>
      <c r="Z74" s="7">
        <f t="shared" si="75"/>
        <v>0</v>
      </c>
    </row>
    <row r="75" spans="1:26" s="62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+D18-D20+D76</f>
        <v>-1951.4900000000002</v>
      </c>
      <c r="E78" s="13"/>
      <c r="F78" s="20">
        <f>IF(D$12=0,0,D78/D$12)</f>
        <v>0</v>
      </c>
      <c r="G78" s="13"/>
      <c r="H78" s="21">
        <f>+H18-H20+H76</f>
        <v>-848</v>
      </c>
      <c r="I78" s="13"/>
      <c r="J78" s="20">
        <f>IF(H$12=0,0,H78/H$12)</f>
        <v>0</v>
      </c>
      <c r="K78" s="16"/>
      <c r="L78" s="21">
        <f>+D78-H78</f>
        <v>-1103.4900000000002</v>
      </c>
      <c r="M78" s="16"/>
      <c r="N78" s="20">
        <f>IF(H78=0,0,L78/H78)</f>
        <v>1.3012853773584909</v>
      </c>
      <c r="O78" s="26"/>
      <c r="P78" s="21">
        <f>+P18-P20+P76</f>
        <v>-5375.57</v>
      </c>
      <c r="Q78" s="13"/>
      <c r="R78" s="20">
        <f>IF(P$12=0,0,P78/P$12)</f>
        <v>0</v>
      </c>
      <c r="S78" s="13"/>
      <c r="T78" s="21">
        <f>+T18-T20+T76</f>
        <v>-4240</v>
      </c>
      <c r="U78" s="13"/>
      <c r="V78" s="20">
        <f>IF(T$12=0,0,T78/T$12)</f>
        <v>0</v>
      </c>
      <c r="W78" s="16"/>
      <c r="X78" s="21">
        <f>+P78-T78</f>
        <v>-1135.5699999999997</v>
      </c>
      <c r="Y78" s="16"/>
      <c r="Z78" s="20">
        <f>IF(T78=0,0,X78/T78)</f>
        <v>0.26782311320754709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1">
        <f>+D78-D80</f>
        <v>-1951.4900000000002</v>
      </c>
      <c r="E82" s="13"/>
      <c r="F82" s="34">
        <f>IF(D$12=0,0,D82/D$12)</f>
        <v>0</v>
      </c>
      <c r="G82" s="13"/>
      <c r="H82" s="31">
        <f>+H78-H80</f>
        <v>-848</v>
      </c>
      <c r="I82" s="13"/>
      <c r="J82" s="34">
        <f>IF(H$12=0,0,H82/H$12)</f>
        <v>0</v>
      </c>
      <c r="K82" s="16"/>
      <c r="L82" s="31">
        <f>D82-H82</f>
        <v>-1103.4900000000002</v>
      </c>
      <c r="M82" s="16"/>
      <c r="N82" s="34">
        <f>IF(H82=0,0,L82/H82)</f>
        <v>1.3012853773584909</v>
      </c>
      <c r="O82" s="26"/>
      <c r="P82" s="31">
        <f>+P78-P80</f>
        <v>-5375.57</v>
      </c>
      <c r="Q82" s="13"/>
      <c r="R82" s="34">
        <f>IF(P$12=0,0,P82/P$12)</f>
        <v>0</v>
      </c>
      <c r="S82" s="13"/>
      <c r="T82" s="31">
        <f>+T78-T80</f>
        <v>-4240</v>
      </c>
      <c r="U82" s="13"/>
      <c r="V82" s="34">
        <f>IF(T$12=0,0,T82/T$12)</f>
        <v>0</v>
      </c>
      <c r="W82" s="16"/>
      <c r="X82" s="31">
        <f>P82-T82</f>
        <v>-1135.5699999999997</v>
      </c>
      <c r="Y82" s="16"/>
      <c r="Z82" s="34">
        <f>IF(T82=0,0,X82/T82)</f>
        <v>0.26782311320754709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-1951.4900000000002</v>
      </c>
      <c r="E85" s="13"/>
      <c r="F85" s="30">
        <f>IF(D$12=0,0,D85/D$12)</f>
        <v>0</v>
      </c>
      <c r="G85" s="13"/>
      <c r="H85" s="33">
        <f>SUM(H82:H84)</f>
        <v>-848</v>
      </c>
      <c r="I85" s="13"/>
      <c r="J85" s="30">
        <f>IF(H$12=0,0,H85/H$12)</f>
        <v>0</v>
      </c>
      <c r="K85" s="16"/>
      <c r="L85" s="33">
        <f>+D85-H85</f>
        <v>-1103.4900000000002</v>
      </c>
      <c r="M85" s="16"/>
      <c r="N85" s="30">
        <f>IF(H85=0,0,L85/H85)</f>
        <v>1.3012853773584909</v>
      </c>
      <c r="O85" s="26"/>
      <c r="P85" s="33">
        <f>SUM(P82:P84)</f>
        <v>-5375.57</v>
      </c>
      <c r="Q85" s="13"/>
      <c r="R85" s="30">
        <f>IF(P$12=0,0,P85/P$12)</f>
        <v>0</v>
      </c>
      <c r="S85" s="13"/>
      <c r="T85" s="33">
        <f>SUM(T82:T84)</f>
        <v>-4240</v>
      </c>
      <c r="U85" s="13"/>
      <c r="V85" s="30">
        <f>IF(T$12=0,0,T85/T$12)</f>
        <v>0</v>
      </c>
      <c r="W85" s="16"/>
      <c r="X85" s="33">
        <f>+P85-T85</f>
        <v>-1135.5699999999997</v>
      </c>
      <c r="Y85" s="16"/>
      <c r="Z85" s="30">
        <f>IF(T85=0,0,X85/T85)</f>
        <v>0.26782311320754709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>
        <v>44174.679925775461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196.03</v>
      </c>
      <c r="E21" s="19"/>
      <c r="F21" s="35">
        <f t="shared" ref="F21:F31" si="14">IF(D$12=0,0,D21/D$12)</f>
        <v>0</v>
      </c>
      <c r="G21" s="19"/>
      <c r="H21" s="19">
        <f>SUM(OSRRefH22x_0)</f>
        <v>630</v>
      </c>
      <c r="I21" s="19"/>
      <c r="J21" s="35">
        <f t="shared" ref="J21:J31" si="15">IF(H$12=0,0,H21/H$12)</f>
        <v>0</v>
      </c>
      <c r="K21" s="4"/>
      <c r="L21" s="19">
        <f t="shared" ref="L21:L31" si="16">+D21-H21</f>
        <v>-433.97</v>
      </c>
      <c r="M21" s="4"/>
      <c r="N21" s="35">
        <f t="shared" ref="N21:N31" si="17">IF(H21=0,0,L21/H21)</f>
        <v>-0.68884126984126992</v>
      </c>
      <c r="O21" s="10"/>
      <c r="P21" s="19">
        <f>SUM(OSRRefP22x_0)</f>
        <v>4761.7299999999996</v>
      </c>
      <c r="Q21" s="19"/>
      <c r="R21" s="35">
        <f t="shared" ref="R21:R31" si="18">IF(P$12=0,0,P21/P$12)</f>
        <v>0</v>
      </c>
      <c r="S21" s="19"/>
      <c r="T21" s="19">
        <f>SUM(OSRRefT22x_0)</f>
        <v>3150</v>
      </c>
      <c r="U21" s="19"/>
      <c r="V21" s="35">
        <f t="shared" ref="V21:V31" si="19">IF(T$12=0,0,T21/T$12)</f>
        <v>0</v>
      </c>
      <c r="W21" s="4"/>
      <c r="X21" s="19">
        <f t="shared" ref="X21:X31" si="20">+P21-T21</f>
        <v>1611.7299999999996</v>
      </c>
      <c r="Y21" s="4"/>
      <c r="Z21" s="35">
        <f t="shared" ref="Z21:Z31" si="21">IF(T21=0,0,X21/T21)</f>
        <v>0.51166031746031737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191.51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191.51</v>
      </c>
      <c r="Y23" s="2"/>
      <c r="Z23" s="7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718.51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718.51</v>
      </c>
      <c r="Y25" s="2"/>
      <c r="Z25" s="7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377.03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377.03</v>
      </c>
      <c r="Y27" s="2"/>
      <c r="Z27" s="7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93.89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93.89</v>
      </c>
      <c r="Y29" s="2"/>
      <c r="Z29" s="7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112.49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112.49</v>
      </c>
      <c r="Y30" s="2"/>
      <c r="Z30" s="7">
        <f t="shared" si="21"/>
        <v>0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0</v>
      </c>
      <c r="Y31" s="2"/>
      <c r="Z31" s="7">
        <f t="shared" si="21"/>
        <v>0</v>
      </c>
    </row>
    <row r="32" spans="1:26" s="29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8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>
        <v>2259.48</v>
      </c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2259.48</v>
      </c>
      <c r="Y34" s="2"/>
      <c r="Z34" s="7">
        <f t="shared" si="29"/>
        <v>0</v>
      </c>
    </row>
    <row r="35" spans="1:26" s="24" customFormat="1" hidden="1" outlineLevel="2" x14ac:dyDescent="0.25">
      <c r="A35" s="28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8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8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9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8" si="30">IF(D$12=0,0,D43/D$12)</f>
        <v>0</v>
      </c>
      <c r="G43" s="1"/>
      <c r="H43" s="1">
        <f>SUM(OSRRefH22_2x_0)</f>
        <v>0</v>
      </c>
      <c r="I43" s="1"/>
      <c r="J43" s="5">
        <f t="shared" ref="J43:J58" si="31">IF(H$12=0,0,H43/H$12)</f>
        <v>0</v>
      </c>
      <c r="K43" s="1"/>
      <c r="L43" s="1">
        <f t="shared" ref="L43:L58" si="32">+D43-H43</f>
        <v>0</v>
      </c>
      <c r="M43" s="1"/>
      <c r="N43" s="5">
        <f t="shared" ref="N43:N58" si="33">IF(H43=0,0,L43/H43)</f>
        <v>0</v>
      </c>
      <c r="O43" s="14"/>
      <c r="P43" s="1">
        <f>SUM(OSRRefP22_2x_0)</f>
        <v>0</v>
      </c>
      <c r="Q43" s="1"/>
      <c r="R43" s="5">
        <f t="shared" ref="R43:R58" si="34">IF(P$12=0,0,P43/P$12)</f>
        <v>0</v>
      </c>
      <c r="S43" s="1"/>
      <c r="T43" s="1">
        <f>SUM(OSRRefT22_2x_0)</f>
        <v>0</v>
      </c>
      <c r="U43" s="1"/>
      <c r="V43" s="5">
        <f t="shared" ref="V43:V58" si="35">IF(T$12=0,0,T43/T$12)</f>
        <v>0</v>
      </c>
      <c r="W43" s="1"/>
      <c r="X43" s="1">
        <f t="shared" ref="X43:X58" si="36">+P43-T43</f>
        <v>0</v>
      </c>
      <c r="Y43" s="1"/>
      <c r="Z43" s="5">
        <f t="shared" ref="Z43:Z58" si="37">IF(T43=0,0,X43/T43)</f>
        <v>0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9" customFormat="1" outlineLevel="1" collapsed="1" x14ac:dyDescent="0.2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8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9" customFormat="1" outlineLevel="1" collapsed="1" x14ac:dyDescent="0.2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8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0</v>
      </c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0</v>
      </c>
      <c r="U48" s="2"/>
      <c r="V48" s="7">
        <f t="shared" si="35"/>
        <v>0</v>
      </c>
      <c r="W48" s="2"/>
      <c r="X48" s="6">
        <f t="shared" si="36"/>
        <v>0</v>
      </c>
      <c r="Y48" s="2"/>
      <c r="Z48" s="7">
        <f t="shared" si="37"/>
        <v>0</v>
      </c>
    </row>
    <row r="49" spans="1:26" s="29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290.14999999999998</v>
      </c>
      <c r="Q49" s="1"/>
      <c r="R49" s="5">
        <f t="shared" si="34"/>
        <v>0</v>
      </c>
      <c r="S49" s="1"/>
      <c r="T49" s="1">
        <f>SUM(OSRRefT22_5x_0)</f>
        <v>3150</v>
      </c>
      <c r="U49" s="1"/>
      <c r="V49" s="5">
        <f t="shared" si="35"/>
        <v>0</v>
      </c>
      <c r="W49" s="1"/>
      <c r="X49" s="1">
        <f t="shared" si="36"/>
        <v>-2859.85</v>
      </c>
      <c r="Y49" s="1"/>
      <c r="Z49" s="5">
        <f t="shared" si="37"/>
        <v>-0.90788888888888886</v>
      </c>
    </row>
    <row r="50" spans="1:26" s="24" customFormat="1" hidden="1" outlineLevel="2" x14ac:dyDescent="0.25">
      <c r="A50" s="28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58.03</v>
      </c>
      <c r="E50" s="2"/>
      <c r="F50" s="7">
        <f t="shared" si="30"/>
        <v>0</v>
      </c>
      <c r="G50" s="2"/>
      <c r="H50" s="6">
        <v>630</v>
      </c>
      <c r="I50" s="2"/>
      <c r="J50" s="7">
        <f t="shared" si="31"/>
        <v>0</v>
      </c>
      <c r="K50" s="2"/>
      <c r="L50" s="6">
        <f t="shared" si="32"/>
        <v>-571.97</v>
      </c>
      <c r="M50" s="2"/>
      <c r="N50" s="7">
        <f t="shared" si="33"/>
        <v>-0.90788888888888897</v>
      </c>
      <c r="O50" s="11"/>
      <c r="P50" s="6">
        <v>290.14999999999998</v>
      </c>
      <c r="Q50" s="2"/>
      <c r="R50" s="7">
        <f t="shared" si="34"/>
        <v>0</v>
      </c>
      <c r="S50" s="2"/>
      <c r="T50" s="6">
        <v>3150</v>
      </c>
      <c r="U50" s="2"/>
      <c r="V50" s="7">
        <f t="shared" si="35"/>
        <v>0</v>
      </c>
      <c r="W50" s="2"/>
      <c r="X50" s="6">
        <f t="shared" si="36"/>
        <v>-2859.85</v>
      </c>
      <c r="Y50" s="2"/>
      <c r="Z50" s="7">
        <f t="shared" si="37"/>
        <v>-0.90788888888888886</v>
      </c>
    </row>
    <row r="51" spans="1:26" s="29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0</v>
      </c>
      <c r="U52" s="2"/>
      <c r="V52" s="7">
        <f t="shared" si="35"/>
        <v>0</v>
      </c>
      <c r="W52" s="2"/>
      <c r="X52" s="6">
        <f t="shared" si="36"/>
        <v>0</v>
      </c>
      <c r="Y52" s="2"/>
      <c r="Z52" s="7">
        <f t="shared" si="37"/>
        <v>0</v>
      </c>
    </row>
    <row r="53" spans="1:26" s="29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4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0</v>
      </c>
      <c r="U54" s="2"/>
      <c r="V54" s="7">
        <f t="shared" si="35"/>
        <v>0</v>
      </c>
      <c r="W54" s="2"/>
      <c r="X54" s="6">
        <f t="shared" si="36"/>
        <v>0</v>
      </c>
      <c r="Y54" s="2"/>
      <c r="Z54" s="7">
        <f t="shared" si="37"/>
        <v>0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4"/>
      <c r="P55" s="1">
        <f>SUM(OSRRefP22_8x_0)</f>
        <v>244.35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244.35</v>
      </c>
      <c r="Y55" s="1"/>
      <c r="Z55" s="5">
        <f t="shared" si="37"/>
        <v>0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0</v>
      </c>
      <c r="U56" s="2"/>
      <c r="V56" s="7">
        <f t="shared" si="35"/>
        <v>0</v>
      </c>
      <c r="W56" s="2"/>
      <c r="X56" s="6">
        <f t="shared" si="36"/>
        <v>0</v>
      </c>
      <c r="Y56" s="2"/>
      <c r="Z56" s="7">
        <f t="shared" si="37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>
        <v>244.35</v>
      </c>
      <c r="Q57" s="2"/>
      <c r="R57" s="7">
        <f t="shared" si="34"/>
        <v>0</v>
      </c>
      <c r="S57" s="2"/>
      <c r="T57" s="6">
        <v>0</v>
      </c>
      <c r="U57" s="2"/>
      <c r="V57" s="7">
        <f t="shared" si="35"/>
        <v>0</v>
      </c>
      <c r="W57" s="2"/>
      <c r="X57" s="6">
        <f t="shared" si="36"/>
        <v>244.35</v>
      </c>
      <c r="Y57" s="2"/>
      <c r="Z57" s="7">
        <f t="shared" si="37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0"/>
        <v>0</v>
      </c>
      <c r="G58" s="2"/>
      <c r="H58" s="6">
        <v>0</v>
      </c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/>
      <c r="Q58" s="2"/>
      <c r="R58" s="7">
        <f t="shared" si="34"/>
        <v>0</v>
      </c>
      <c r="S58" s="2"/>
      <c r="T58" s="6">
        <v>0</v>
      </c>
      <c r="U58" s="2"/>
      <c r="V58" s="7">
        <f t="shared" si="35"/>
        <v>0</v>
      </c>
      <c r="W58" s="2"/>
      <c r="X58" s="6">
        <f t="shared" si="36"/>
        <v>0</v>
      </c>
      <c r="Y58" s="2"/>
      <c r="Z58" s="7">
        <f t="shared" si="37"/>
        <v>0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38">IF(D$12=0,0,D59/D$12)</f>
        <v>0</v>
      </c>
      <c r="G59" s="1"/>
      <c r="H59" s="1">
        <f>SUM(OSRRefH22_9x_0)</f>
        <v>0</v>
      </c>
      <c r="I59" s="1"/>
      <c r="J59" s="5">
        <f t="shared" ref="J59:J61" si="39">IF(H$12=0,0,H59/H$12)</f>
        <v>0</v>
      </c>
      <c r="K59" s="1"/>
      <c r="L59" s="1">
        <f t="shared" ref="L59:L61" si="40">+D59-H59</f>
        <v>0</v>
      </c>
      <c r="M59" s="1"/>
      <c r="N59" s="5">
        <f t="shared" ref="N59:N61" si="41">IF(H59=0,0,L59/H59)</f>
        <v>0</v>
      </c>
      <c r="O59" s="14"/>
      <c r="P59" s="1">
        <f>SUM(OSRRefP22_9x_0)</f>
        <v>286.62</v>
      </c>
      <c r="Q59" s="1"/>
      <c r="R59" s="5">
        <f t="shared" ref="R59:R61" si="42">IF(P$12=0,0,P59/P$12)</f>
        <v>0</v>
      </c>
      <c r="S59" s="1"/>
      <c r="T59" s="1">
        <f>SUM(OSRRefT22_9x_0)</f>
        <v>0</v>
      </c>
      <c r="U59" s="1"/>
      <c r="V59" s="5">
        <f t="shared" ref="V59:V61" si="43">IF(T$12=0,0,T59/T$12)</f>
        <v>0</v>
      </c>
      <c r="W59" s="1"/>
      <c r="X59" s="1">
        <f t="shared" ref="X59:X61" si="44">+P59-T59</f>
        <v>286.62</v>
      </c>
      <c r="Y59" s="1"/>
      <c r="Z59" s="5">
        <f t="shared" ref="Z59:Z61" si="45">IF(T59=0,0,X59/T59)</f>
        <v>0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>
        <v>286.62</v>
      </c>
      <c r="Q60" s="2"/>
      <c r="R60" s="7">
        <f t="shared" si="42"/>
        <v>0</v>
      </c>
      <c r="S60" s="2"/>
      <c r="T60" s="6"/>
      <c r="U60" s="2"/>
      <c r="V60" s="7">
        <f t="shared" si="43"/>
        <v>0</v>
      </c>
      <c r="W60" s="2"/>
      <c r="X60" s="6">
        <f t="shared" si="44"/>
        <v>286.62</v>
      </c>
      <c r="Y60" s="2"/>
      <c r="Z60" s="7">
        <f t="shared" si="45"/>
        <v>0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38"/>
        <v>0</v>
      </c>
      <c r="G61" s="2"/>
      <c r="H61" s="6">
        <v>0</v>
      </c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/>
      <c r="Q61" s="2"/>
      <c r="R61" s="7">
        <f t="shared" si="42"/>
        <v>0</v>
      </c>
      <c r="S61" s="2"/>
      <c r="T61" s="6">
        <v>0</v>
      </c>
      <c r="U61" s="2"/>
      <c r="V61" s="7">
        <f t="shared" si="43"/>
        <v>0</v>
      </c>
      <c r="W61" s="2"/>
      <c r="X61" s="6">
        <f t="shared" si="44"/>
        <v>0</v>
      </c>
      <c r="Y61" s="2"/>
      <c r="Z61" s="7">
        <f t="shared" si="45"/>
        <v>0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70" si="46">IF(D$12=0,0,D62/D$12)</f>
        <v>0</v>
      </c>
      <c r="G62" s="1"/>
      <c r="H62" s="1">
        <f>SUM(OSRRefH22_10x_0)</f>
        <v>0</v>
      </c>
      <c r="I62" s="1"/>
      <c r="J62" s="5">
        <f t="shared" ref="J62:J70" si="47">IF(H$12=0,0,H62/H$12)</f>
        <v>0</v>
      </c>
      <c r="K62" s="1"/>
      <c r="L62" s="1">
        <f t="shared" ref="L62:L70" si="48">+D62-H62</f>
        <v>0</v>
      </c>
      <c r="M62" s="1"/>
      <c r="N62" s="5">
        <f t="shared" ref="N62:N70" si="49">IF(H62=0,0,L62/H62)</f>
        <v>0</v>
      </c>
      <c r="O62" s="14"/>
      <c r="P62" s="1">
        <f>SUM(OSRRefP22_10x_0)</f>
        <v>0</v>
      </c>
      <c r="Q62" s="1"/>
      <c r="R62" s="5">
        <f t="shared" ref="R62:R70" si="50">IF(P$12=0,0,P62/P$12)</f>
        <v>0</v>
      </c>
      <c r="S62" s="1"/>
      <c r="T62" s="1">
        <f>SUM(OSRRefT22_10x_0)</f>
        <v>0</v>
      </c>
      <c r="U62" s="1"/>
      <c r="V62" s="5">
        <f t="shared" ref="V62:V70" si="51">IF(T$12=0,0,T62/T$12)</f>
        <v>0</v>
      </c>
      <c r="W62" s="1"/>
      <c r="X62" s="1">
        <f t="shared" ref="X62:X70" si="52">+P62-T62</f>
        <v>0</v>
      </c>
      <c r="Y62" s="1"/>
      <c r="Z62" s="5">
        <f t="shared" ref="Z62:Z70" si="53">IF(T62=0,0,X62/T62)</f>
        <v>0</v>
      </c>
    </row>
    <row r="63" spans="1:26" s="24" customFormat="1" hidden="1" outlineLevel="2" x14ac:dyDescent="0.25">
      <c r="A63" s="28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46"/>
        <v>0</v>
      </c>
      <c r="G63" s="2"/>
      <c r="H63" s="6">
        <v>0</v>
      </c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0</v>
      </c>
      <c r="U63" s="2"/>
      <c r="V63" s="7">
        <f t="shared" si="51"/>
        <v>0</v>
      </c>
      <c r="W63" s="2"/>
      <c r="X63" s="6">
        <f t="shared" si="52"/>
        <v>0</v>
      </c>
      <c r="Y63" s="2"/>
      <c r="Z63" s="7">
        <f t="shared" si="53"/>
        <v>0</v>
      </c>
    </row>
    <row r="64" spans="1:26" s="24" customFormat="1" hidden="1" outlineLevel="2" x14ac:dyDescent="0.25">
      <c r="A64" s="28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6"/>
        <v>0</v>
      </c>
      <c r="G64" s="2"/>
      <c r="H64" s="6"/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4" customFormat="1" hidden="1" outlineLevel="2" x14ac:dyDescent="0.25">
      <c r="A65" s="28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0</v>
      </c>
      <c r="U65" s="2"/>
      <c r="V65" s="7">
        <f t="shared" si="51"/>
        <v>0</v>
      </c>
      <c r="W65" s="2"/>
      <c r="X65" s="6">
        <f t="shared" si="52"/>
        <v>0</v>
      </c>
      <c r="Y65" s="2"/>
      <c r="Z65" s="7">
        <f t="shared" si="53"/>
        <v>0</v>
      </c>
    </row>
    <row r="66" spans="1:26" s="24" customFormat="1" hidden="1" outlineLevel="2" x14ac:dyDescent="0.25">
      <c r="A66" s="28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6"/>
        <v>0</v>
      </c>
      <c r="G66" s="2"/>
      <c r="H66" s="6">
        <v>0</v>
      </c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0</v>
      </c>
      <c r="U66" s="2"/>
      <c r="V66" s="7">
        <f t="shared" si="51"/>
        <v>0</v>
      </c>
      <c r="W66" s="2"/>
      <c r="X66" s="6">
        <f t="shared" si="52"/>
        <v>0</v>
      </c>
      <c r="Y66" s="2"/>
      <c r="Z66" s="7">
        <f t="shared" si="53"/>
        <v>0</v>
      </c>
    </row>
    <row r="67" spans="1:26" s="24" customFormat="1" hidden="1" outlineLevel="2" x14ac:dyDescent="0.25">
      <c r="A67" s="28"/>
      <c r="B67" s="11" t="str">
        <f>CONCATENATE("          ", "6244", " - ", "SAFETY SUPPLY EXPENSE")</f>
        <v xml:space="preserve">          6244 - SAFETY SUPPLY EXPENSE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0</v>
      </c>
      <c r="U67" s="2"/>
      <c r="V67" s="7">
        <f t="shared" si="51"/>
        <v>0</v>
      </c>
      <c r="W67" s="2"/>
      <c r="X67" s="6">
        <f t="shared" si="52"/>
        <v>0</v>
      </c>
      <c r="Y67" s="2"/>
      <c r="Z67" s="7">
        <f t="shared" si="53"/>
        <v>0</v>
      </c>
    </row>
    <row r="68" spans="1:26" s="24" customFormat="1" hidden="1" outlineLevel="2" x14ac:dyDescent="0.25">
      <c r="A68" s="28"/>
      <c r="B68" s="11" t="str">
        <f>CONCATENATE("          ", "6245", " - ", "PRINTING")</f>
        <v xml:space="preserve">          6245 - PRINTING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0</v>
      </c>
      <c r="U68" s="2"/>
      <c r="V68" s="7">
        <f t="shared" si="51"/>
        <v>0</v>
      </c>
      <c r="W68" s="2"/>
      <c r="X68" s="6">
        <f t="shared" si="52"/>
        <v>0</v>
      </c>
      <c r="Y68" s="2"/>
      <c r="Z68" s="7">
        <f t="shared" si="53"/>
        <v>0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/>
      <c r="Q69" s="2"/>
      <c r="R69" s="7">
        <f t="shared" si="50"/>
        <v>0</v>
      </c>
      <c r="S69" s="2"/>
      <c r="T69" s="6">
        <v>0</v>
      </c>
      <c r="U69" s="2"/>
      <c r="V69" s="7">
        <f t="shared" si="51"/>
        <v>0</v>
      </c>
      <c r="W69" s="2"/>
      <c r="X69" s="6">
        <f t="shared" si="52"/>
        <v>0</v>
      </c>
      <c r="Y69" s="2"/>
      <c r="Z69" s="7">
        <f t="shared" si="53"/>
        <v>0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0</v>
      </c>
      <c r="M70" s="2"/>
      <c r="N70" s="7">
        <f t="shared" si="49"/>
        <v>0</v>
      </c>
      <c r="O70" s="11"/>
      <c r="P70" s="6"/>
      <c r="Q70" s="2"/>
      <c r="R70" s="7">
        <f t="shared" si="50"/>
        <v>0</v>
      </c>
      <c r="S70" s="2"/>
      <c r="T70" s="6">
        <v>0</v>
      </c>
      <c r="U70" s="2"/>
      <c r="V70" s="7">
        <f t="shared" si="51"/>
        <v>0</v>
      </c>
      <c r="W70" s="2"/>
      <c r="X70" s="6">
        <f t="shared" si="52"/>
        <v>0</v>
      </c>
      <c r="Y70" s="2"/>
      <c r="Z70" s="7">
        <f t="shared" si="53"/>
        <v>0</v>
      </c>
    </row>
    <row r="71" spans="1:26" s="29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138</v>
      </c>
      <c r="E71" s="1"/>
      <c r="F71" s="5">
        <f t="shared" ref="F71:F73" si="54">IF(D$12=0,0,D71/D$12)</f>
        <v>0</v>
      </c>
      <c r="G71" s="1"/>
      <c r="H71" s="1">
        <f>SUM(OSRRefH22_11x_0)</f>
        <v>0</v>
      </c>
      <c r="I71" s="1"/>
      <c r="J71" s="5">
        <f t="shared" ref="J71:J73" si="55">IF(H$12=0,0,H71/H$12)</f>
        <v>0</v>
      </c>
      <c r="K71" s="1"/>
      <c r="L71" s="1">
        <f t="shared" ref="L71:L73" si="56">+D71-H71</f>
        <v>138</v>
      </c>
      <c r="M71" s="1"/>
      <c r="N71" s="5">
        <f t="shared" ref="N71:N73" si="57">IF(H71=0,0,L71/H71)</f>
        <v>0</v>
      </c>
      <c r="O71" s="14"/>
      <c r="P71" s="1">
        <f>SUM(OSRRefP22_11x_0)</f>
        <v>187.7</v>
      </c>
      <c r="Q71" s="1"/>
      <c r="R71" s="5">
        <f t="shared" ref="R71:R73" si="58">IF(P$12=0,0,P71/P$12)</f>
        <v>0</v>
      </c>
      <c r="S71" s="1"/>
      <c r="T71" s="1">
        <f>SUM(OSRRefT22_11x_0)</f>
        <v>0</v>
      </c>
      <c r="U71" s="1"/>
      <c r="V71" s="5">
        <f t="shared" ref="V71:V73" si="59">IF(T$12=0,0,T71/T$12)</f>
        <v>0</v>
      </c>
      <c r="W71" s="1"/>
      <c r="X71" s="1">
        <f t="shared" ref="X71:X73" si="60">+P71-T71</f>
        <v>187.7</v>
      </c>
      <c r="Y71" s="1"/>
      <c r="Z71" s="5">
        <f t="shared" ref="Z71:Z73" si="61">IF(T71=0,0,X71/T71)</f>
        <v>0</v>
      </c>
    </row>
    <row r="72" spans="1:26" s="24" customFormat="1" hidden="1" outlineLevel="2" x14ac:dyDescent="0.25">
      <c r="A72" s="28"/>
      <c r="B72" s="11" t="str">
        <f>CONCATENATE("          ", "6303", " - ", "DATA PHONE LINES")</f>
        <v xml:space="preserve">          6303 - DATA PHONE LINES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6">
        <v>138</v>
      </c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138</v>
      </c>
      <c r="M73" s="2"/>
      <c r="N73" s="7">
        <f t="shared" si="57"/>
        <v>0</v>
      </c>
      <c r="O73" s="11"/>
      <c r="P73" s="6">
        <v>187.7</v>
      </c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187.7</v>
      </c>
      <c r="Y73" s="2"/>
      <c r="Z73" s="7">
        <f t="shared" si="61"/>
        <v>0</v>
      </c>
    </row>
    <row r="74" spans="1:26" s="29" customFormat="1" outlineLevel="1" collapsed="1" x14ac:dyDescent="0.25">
      <c r="A74" s="27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SUM(OSRRefD22_12x_0)</f>
        <v>0</v>
      </c>
      <c r="E74" s="1"/>
      <c r="F74" s="5">
        <f t="shared" ref="F74:F75" si="62">IF(D$12=0,0,D74/D$12)</f>
        <v>0</v>
      </c>
      <c r="G74" s="1"/>
      <c r="H74" s="1">
        <f>SUM(OSRRefH22_12x_0)</f>
        <v>0</v>
      </c>
      <c r="I74" s="1"/>
      <c r="J74" s="5">
        <f t="shared" ref="J74:J75" si="63">IF(H$12=0,0,H74/H$12)</f>
        <v>0</v>
      </c>
      <c r="K74" s="1"/>
      <c r="L74" s="1">
        <f t="shared" ref="L74:L75" si="64">+D74-H74</f>
        <v>0</v>
      </c>
      <c r="M74" s="1"/>
      <c r="N74" s="5">
        <f t="shared" ref="N74:N75" si="65">IF(H74=0,0,L74/H74)</f>
        <v>0</v>
      </c>
      <c r="O74" s="14"/>
      <c r="P74" s="1">
        <f>SUM(OSRRefP22_12x_0)</f>
        <v>0</v>
      </c>
      <c r="Q74" s="1"/>
      <c r="R74" s="5">
        <f t="shared" ref="R74:R75" si="66">IF(P$12=0,0,P74/P$12)</f>
        <v>0</v>
      </c>
      <c r="S74" s="1"/>
      <c r="T74" s="1">
        <f>SUM(OSRRefT22_12x_0)</f>
        <v>0</v>
      </c>
      <c r="U74" s="1"/>
      <c r="V74" s="5">
        <f t="shared" ref="V74:V75" si="67">IF(T$12=0,0,T74/T$12)</f>
        <v>0</v>
      </c>
      <c r="W74" s="1"/>
      <c r="X74" s="1">
        <f t="shared" ref="X74:X75" si="68">+P74-T74</f>
        <v>0</v>
      </c>
      <c r="Y74" s="1"/>
      <c r="Z74" s="5">
        <f t="shared" ref="Z74:Z75" si="69">IF(T74=0,0,X74/T74)</f>
        <v>0</v>
      </c>
    </row>
    <row r="75" spans="1:26" s="24" customFormat="1" hidden="1" outlineLevel="2" x14ac:dyDescent="0.25">
      <c r="A75" s="28"/>
      <c r="B75" s="11" t="str">
        <f>CONCATENATE("          ", "6292", " - ", "TRAVEL/CONFERENCE")</f>
        <v xml:space="preserve">          6292 - TRAVEL/CONFERENCE</v>
      </c>
      <c r="C75" s="11"/>
      <c r="D75" s="6"/>
      <c r="E75" s="2"/>
      <c r="F75" s="7">
        <f t="shared" si="62"/>
        <v>0</v>
      </c>
      <c r="G75" s="2"/>
      <c r="H75" s="6"/>
      <c r="I75" s="2"/>
      <c r="J75" s="7">
        <f t="shared" si="63"/>
        <v>0</v>
      </c>
      <c r="K75" s="2"/>
      <c r="L75" s="6">
        <f t="shared" si="64"/>
        <v>0</v>
      </c>
      <c r="M75" s="2"/>
      <c r="N75" s="7">
        <f t="shared" si="65"/>
        <v>0</v>
      </c>
      <c r="O75" s="11"/>
      <c r="P75" s="6"/>
      <c r="Q75" s="2"/>
      <c r="R75" s="7">
        <f t="shared" si="66"/>
        <v>0</v>
      </c>
      <c r="S75" s="2"/>
      <c r="T75" s="6">
        <v>0</v>
      </c>
      <c r="U75" s="2"/>
      <c r="V75" s="7">
        <f t="shared" si="67"/>
        <v>0</v>
      </c>
      <c r="W75" s="2"/>
      <c r="X75" s="6">
        <f t="shared" si="68"/>
        <v>0</v>
      </c>
      <c r="Y75" s="2"/>
      <c r="Z75" s="7">
        <f t="shared" si="69"/>
        <v>0</v>
      </c>
    </row>
    <row r="76" spans="1:26" s="62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3</v>
      </c>
      <c r="C79" s="25"/>
      <c r="D79" s="21">
        <f>+D19-D21+D77</f>
        <v>-196.03</v>
      </c>
      <c r="E79" s="13"/>
      <c r="F79" s="20">
        <f>IF(D$12=0,0,D79/D$12)</f>
        <v>0</v>
      </c>
      <c r="G79" s="13"/>
      <c r="H79" s="21">
        <f>+H19-H21+H77</f>
        <v>-630</v>
      </c>
      <c r="I79" s="13"/>
      <c r="J79" s="20">
        <f>IF(H$12=0,0,H79/H$12)</f>
        <v>0</v>
      </c>
      <c r="K79" s="16"/>
      <c r="L79" s="21">
        <f>+D79-H79</f>
        <v>433.97</v>
      </c>
      <c r="M79" s="16"/>
      <c r="N79" s="20">
        <f>IF(H79=0,0,L79/H79)</f>
        <v>-0.68884126984126992</v>
      </c>
      <c r="O79" s="26"/>
      <c r="P79" s="21">
        <f>+P19-P21+P77</f>
        <v>-4761.7299999999996</v>
      </c>
      <c r="Q79" s="13"/>
      <c r="R79" s="20">
        <f>IF(P$12=0,0,P79/P$12)</f>
        <v>0</v>
      </c>
      <c r="S79" s="13"/>
      <c r="T79" s="21">
        <f>+T19-T21+T77</f>
        <v>-3150</v>
      </c>
      <c r="U79" s="13"/>
      <c r="V79" s="20">
        <f>IF(T$12=0,0,T79/T$12)</f>
        <v>0</v>
      </c>
      <c r="W79" s="16"/>
      <c r="X79" s="21">
        <f>+P79-T79</f>
        <v>-1611.7299999999996</v>
      </c>
      <c r="Y79" s="16"/>
      <c r="Z79" s="20">
        <f>IF(T79=0,0,X79/T79)</f>
        <v>0.51166031746031737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4</v>
      </c>
      <c r="C83" s="25"/>
      <c r="D83" s="31">
        <f>+D79-D81</f>
        <v>-196.03</v>
      </c>
      <c r="E83" s="13"/>
      <c r="F83" s="34">
        <f>IF(D$12=0,0,D83/D$12)</f>
        <v>0</v>
      </c>
      <c r="G83" s="13"/>
      <c r="H83" s="31">
        <f>+H79-H81</f>
        <v>-630</v>
      </c>
      <c r="I83" s="13"/>
      <c r="J83" s="34">
        <f>IF(H$12=0,0,H83/H$12)</f>
        <v>0</v>
      </c>
      <c r="K83" s="16"/>
      <c r="L83" s="31">
        <f>D83-H83</f>
        <v>433.97</v>
      </c>
      <c r="M83" s="16"/>
      <c r="N83" s="34">
        <f>IF(H83=0,0,L83/H83)</f>
        <v>-0.68884126984126992</v>
      </c>
      <c r="O83" s="26"/>
      <c r="P83" s="31">
        <f>+P79-P81</f>
        <v>-4761.7299999999996</v>
      </c>
      <c r="Q83" s="13"/>
      <c r="R83" s="34">
        <f>IF(P$12=0,0,P83/P$12)</f>
        <v>0</v>
      </c>
      <c r="S83" s="13"/>
      <c r="T83" s="31">
        <f>+T79-T81</f>
        <v>-3150</v>
      </c>
      <c r="U83" s="13"/>
      <c r="V83" s="34">
        <f>IF(T$12=0,0,T83/T$12)</f>
        <v>0</v>
      </c>
      <c r="W83" s="16"/>
      <c r="X83" s="31">
        <f>P83-T83</f>
        <v>-1611.7299999999996</v>
      </c>
      <c r="Y83" s="16"/>
      <c r="Z83" s="34">
        <f>IF(T83=0,0,X83/T83)</f>
        <v>0.51166031746031737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5</v>
      </c>
      <c r="C86" s="25"/>
      <c r="D86" s="33">
        <f>SUM(D83:D85)</f>
        <v>-196.03</v>
      </c>
      <c r="E86" s="13"/>
      <c r="F86" s="30">
        <f>IF(D$12=0,0,D86/D$12)</f>
        <v>0</v>
      </c>
      <c r="G86" s="13"/>
      <c r="H86" s="33">
        <f>SUM(H83:H85)</f>
        <v>-630</v>
      </c>
      <c r="I86" s="13"/>
      <c r="J86" s="30">
        <f>IF(H$12=0,0,H86/H$12)</f>
        <v>0</v>
      </c>
      <c r="K86" s="16"/>
      <c r="L86" s="33">
        <f>+D86-H86</f>
        <v>433.97</v>
      </c>
      <c r="M86" s="16"/>
      <c r="N86" s="30">
        <f>IF(H86=0,0,L86/H86)</f>
        <v>-0.68884126984126992</v>
      </c>
      <c r="O86" s="26"/>
      <c r="P86" s="33">
        <f>SUM(P83:P85)</f>
        <v>-4761.7299999999996</v>
      </c>
      <c r="Q86" s="13"/>
      <c r="R86" s="30">
        <f>IF(P$12=0,0,P86/P$12)</f>
        <v>0</v>
      </c>
      <c r="S86" s="13"/>
      <c r="T86" s="33">
        <f>SUM(T83:T85)</f>
        <v>-3150</v>
      </c>
      <c r="U86" s="13"/>
      <c r="V86" s="30">
        <f>IF(T$12=0,0,T86/T$12)</f>
        <v>0</v>
      </c>
      <c r="W86" s="16"/>
      <c r="X86" s="33">
        <f>+P86-T86</f>
        <v>-1611.7299999999996</v>
      </c>
      <c r="Y86" s="16"/>
      <c r="Z86" s="30">
        <f>IF(T86=0,0,X86/T86)</f>
        <v>0.51166031746031737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5">
        <v>44174.679941979164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7" t="s">
        <v>314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D12-D17</f>
        <v>0</v>
      </c>
      <c r="E20" s="13"/>
      <c r="F20" s="20">
        <f>IF(D$12=0,0,D20/D$12)</f>
        <v>0</v>
      </c>
      <c r="G20" s="13"/>
      <c r="H20" s="21">
        <f>H12-H17</f>
        <v>0</v>
      </c>
      <c r="I20" s="13"/>
      <c r="J20" s="20">
        <f>IF(H$12=0,0,H20/H$12)</f>
        <v>0</v>
      </c>
      <c r="K20" s="16"/>
      <c r="L20" s="21">
        <f>+D20-H20</f>
        <v>0</v>
      </c>
      <c r="M20" s="16"/>
      <c r="N20" s="20">
        <f>IF(H20=0,0,L20/H20)</f>
        <v>0</v>
      </c>
      <c r="O20" s="26"/>
      <c r="P20" s="21">
        <f>P12-P17</f>
        <v>974.91</v>
      </c>
      <c r="Q20" s="13"/>
      <c r="R20" s="20">
        <f>IF(P$12=0,0,P20/P$12)</f>
        <v>1</v>
      </c>
      <c r="S20" s="13"/>
      <c r="T20" s="21">
        <f>T12-T17</f>
        <v>0</v>
      </c>
      <c r="U20" s="13"/>
      <c r="V20" s="20">
        <f>IF(T$12=0,0,T20/T$12)</f>
        <v>0</v>
      </c>
      <c r="W20" s="16"/>
      <c r="X20" s="21">
        <f>+P20-T20</f>
        <v>974.91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19">
        <f>SUM(OSRRefD22x_0)</f>
        <v>1825.26</v>
      </c>
      <c r="E22" s="19"/>
      <c r="F22" s="35">
        <f t="shared" ref="F22:F32" si="13">IF(D$12=0,0,D22/D$12)</f>
        <v>0</v>
      </c>
      <c r="G22" s="19"/>
      <c r="H22" s="19">
        <f>SUM(OSRRefH22x_0)</f>
        <v>1972</v>
      </c>
      <c r="I22" s="19"/>
      <c r="J22" s="35">
        <f t="shared" ref="J22:J32" si="14">IF(H$12=0,0,H22/H$12)</f>
        <v>0</v>
      </c>
      <c r="K22" s="4"/>
      <c r="L22" s="19">
        <f t="shared" ref="L22:L32" si="15">+D22-H22</f>
        <v>-146.74</v>
      </c>
      <c r="M22" s="4"/>
      <c r="N22" s="35">
        <f t="shared" ref="N22:N32" si="16">IF(H22=0,0,L22/H22)</f>
        <v>-7.4411764705882358E-2</v>
      </c>
      <c r="O22" s="10"/>
      <c r="P22" s="19">
        <f>SUM(OSRRefP22x_0)</f>
        <v>10448.06</v>
      </c>
      <c r="Q22" s="19"/>
      <c r="R22" s="35">
        <f t="shared" ref="R22:R32" si="17">IF(P$12=0,0,P22/P$12)</f>
        <v>10.716948231118769</v>
      </c>
      <c r="S22" s="19"/>
      <c r="T22" s="19">
        <f>SUM(OSRRefT22x_0)</f>
        <v>9860</v>
      </c>
      <c r="U22" s="19"/>
      <c r="V22" s="35">
        <f t="shared" ref="V22:V32" si="18">IF(T$12=0,0,T22/T$12)</f>
        <v>0</v>
      </c>
      <c r="W22" s="4"/>
      <c r="X22" s="19">
        <f t="shared" ref="X22:X32" si="19">+P22-T22</f>
        <v>588.05999999999949</v>
      </c>
      <c r="Y22" s="4"/>
      <c r="Z22" s="35">
        <f t="shared" ref="Z22:Z32" si="20">IF(T22=0,0,X22/T22)</f>
        <v>5.9640973630831588E-2</v>
      </c>
    </row>
    <row r="23" spans="1:26" s="29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0</v>
      </c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/>
      <c r="Q24" s="2"/>
      <c r="R24" s="7">
        <f t="shared" si="17"/>
        <v>0</v>
      </c>
      <c r="S24" s="2"/>
      <c r="T24" s="6">
        <v>0</v>
      </c>
      <c r="U24" s="2"/>
      <c r="V24" s="7">
        <f t="shared" si="18"/>
        <v>0</v>
      </c>
      <c r="W24" s="2"/>
      <c r="X24" s="6">
        <f t="shared" si="19"/>
        <v>0</v>
      </c>
      <c r="Y24" s="2"/>
      <c r="Z24" s="7">
        <f t="shared" si="20"/>
        <v>0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0</v>
      </c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/>
      <c r="Q25" s="2"/>
      <c r="R25" s="7">
        <f t="shared" si="17"/>
        <v>0</v>
      </c>
      <c r="S25" s="2"/>
      <c r="T25" s="6">
        <v>0</v>
      </c>
      <c r="U25" s="2"/>
      <c r="V25" s="7">
        <f t="shared" si="18"/>
        <v>0</v>
      </c>
      <c r="W25" s="2"/>
      <c r="X25" s="6">
        <f t="shared" si="19"/>
        <v>0</v>
      </c>
      <c r="Y25" s="2"/>
      <c r="Z25" s="7">
        <f t="shared" si="20"/>
        <v>0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702.51</v>
      </c>
      <c r="Y26" s="2"/>
      <c r="Z26" s="7">
        <f t="shared" si="20"/>
        <v>0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/>
      <c r="Q27" s="2"/>
      <c r="R27" s="7">
        <f t="shared" si="17"/>
        <v>0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0</v>
      </c>
      <c r="Y27" s="2"/>
      <c r="Z27" s="7">
        <f t="shared" si="20"/>
        <v>0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8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9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1"/>
        <v>0</v>
      </c>
      <c r="G34" s="2"/>
      <c r="H34" s="6">
        <v>0</v>
      </c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/>
      <c r="Q34" s="2"/>
      <c r="R34" s="7">
        <f t="shared" si="25"/>
        <v>0</v>
      </c>
      <c r="S34" s="2"/>
      <c r="T34" s="6">
        <v>0</v>
      </c>
      <c r="U34" s="2"/>
      <c r="V34" s="7">
        <f t="shared" si="26"/>
        <v>0</v>
      </c>
      <c r="W34" s="2"/>
      <c r="X34" s="6">
        <f t="shared" si="27"/>
        <v>0</v>
      </c>
      <c r="Y34" s="2"/>
      <c r="Z34" s="7">
        <f t="shared" si="28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9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8" si="29">IF(D$12=0,0,D44/D$12)</f>
        <v>0</v>
      </c>
      <c r="G44" s="1"/>
      <c r="H44" s="1">
        <f>SUM(OSRRefH22_2x_0)</f>
        <v>0</v>
      </c>
      <c r="I44" s="1"/>
      <c r="J44" s="5">
        <f t="shared" ref="J44:J58" si="30">IF(H$12=0,0,H44/H$12)</f>
        <v>0</v>
      </c>
      <c r="K44" s="1"/>
      <c r="L44" s="1">
        <f t="shared" ref="L44:L58" si="31">+D44-H44</f>
        <v>0</v>
      </c>
      <c r="M44" s="1"/>
      <c r="N44" s="5">
        <f t="shared" ref="N44:N58" si="32">IF(H44=0,0,L44/H44)</f>
        <v>0</v>
      </c>
      <c r="O44" s="14"/>
      <c r="P44" s="1">
        <f>SUM(OSRRefP22_2x_0)</f>
        <v>0</v>
      </c>
      <c r="Q44" s="1"/>
      <c r="R44" s="5">
        <f t="shared" ref="R44:R58" si="33">IF(P$12=0,0,P44/P$12)</f>
        <v>0</v>
      </c>
      <c r="S44" s="1"/>
      <c r="T44" s="1">
        <f>SUM(OSRRefT22_2x_0)</f>
        <v>0</v>
      </c>
      <c r="U44" s="1"/>
      <c r="V44" s="5">
        <f t="shared" ref="V44:V58" si="34">IF(T$12=0,0,T44/T$12)</f>
        <v>0</v>
      </c>
      <c r="W44" s="1"/>
      <c r="X44" s="1">
        <f t="shared" ref="X44:X58" si="35">+P44-T44</f>
        <v>0</v>
      </c>
      <c r="Y44" s="1"/>
      <c r="Z44" s="5">
        <f t="shared" ref="Z44:Z58" si="36">IF(T44=0,0,X44/T44)</f>
        <v>0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9"/>
        <v>0</v>
      </c>
      <c r="G45" s="2"/>
      <c r="H45" s="6">
        <v>0</v>
      </c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/>
      <c r="Q45" s="2"/>
      <c r="R45" s="7">
        <f t="shared" si="33"/>
        <v>0</v>
      </c>
      <c r="S45" s="2"/>
      <c r="T45" s="6">
        <v>0</v>
      </c>
      <c r="U45" s="2"/>
      <c r="V45" s="7">
        <f t="shared" si="34"/>
        <v>0</v>
      </c>
      <c r="W45" s="2"/>
      <c r="X45" s="6">
        <f t="shared" si="35"/>
        <v>0</v>
      </c>
      <c r="Y45" s="2"/>
      <c r="Z45" s="7">
        <f t="shared" si="36"/>
        <v>0</v>
      </c>
    </row>
    <row r="46" spans="1:26" s="29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8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0</v>
      </c>
      <c r="Y47" s="2"/>
      <c r="Z47" s="7">
        <f t="shared" si="36"/>
        <v>0</v>
      </c>
    </row>
    <row r="48" spans="1:26" s="29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9273.09</v>
      </c>
      <c r="Q48" s="1"/>
      <c r="R48" s="5">
        <f t="shared" si="33"/>
        <v>9.5117395451887869</v>
      </c>
      <c r="S48" s="1"/>
      <c r="T48" s="1">
        <f>SUM(OSRRefT22_4x_0)</f>
        <v>9860</v>
      </c>
      <c r="U48" s="1"/>
      <c r="V48" s="5">
        <f t="shared" si="34"/>
        <v>0</v>
      </c>
      <c r="W48" s="1"/>
      <c r="X48" s="1">
        <f t="shared" si="35"/>
        <v>-586.90999999999985</v>
      </c>
      <c r="Y48" s="1"/>
      <c r="Z48" s="5">
        <f t="shared" si="36"/>
        <v>-5.9524340770791058E-2</v>
      </c>
    </row>
    <row r="49" spans="1:26" s="24" customFormat="1" hidden="1" outlineLevel="2" x14ac:dyDescent="0.25">
      <c r="A49" s="28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1825.26</v>
      </c>
      <c r="E49" s="2"/>
      <c r="F49" s="7">
        <f t="shared" si="29"/>
        <v>0</v>
      </c>
      <c r="G49" s="2"/>
      <c r="H49" s="6">
        <v>1972</v>
      </c>
      <c r="I49" s="2"/>
      <c r="J49" s="7">
        <f t="shared" si="30"/>
        <v>0</v>
      </c>
      <c r="K49" s="2"/>
      <c r="L49" s="6">
        <f t="shared" si="31"/>
        <v>-146.74</v>
      </c>
      <c r="M49" s="2"/>
      <c r="N49" s="7">
        <f t="shared" si="32"/>
        <v>-7.4411764705882358E-2</v>
      </c>
      <c r="O49" s="11"/>
      <c r="P49" s="6">
        <v>9273.09</v>
      </c>
      <c r="Q49" s="2"/>
      <c r="R49" s="7">
        <f t="shared" si="33"/>
        <v>9.5117395451887869</v>
      </c>
      <c r="S49" s="2"/>
      <c r="T49" s="6">
        <v>9860</v>
      </c>
      <c r="U49" s="2"/>
      <c r="V49" s="7">
        <f t="shared" si="34"/>
        <v>0</v>
      </c>
      <c r="W49" s="2"/>
      <c r="X49" s="6">
        <f t="shared" si="35"/>
        <v>-586.90999999999985</v>
      </c>
      <c r="Y49" s="2"/>
      <c r="Z49" s="7">
        <f t="shared" si="36"/>
        <v>-5.9524340770791058E-2</v>
      </c>
    </row>
    <row r="50" spans="1:26" s="29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>
        <v>0</v>
      </c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/>
      <c r="Q51" s="2"/>
      <c r="R51" s="7">
        <f t="shared" si="33"/>
        <v>0</v>
      </c>
      <c r="S51" s="2"/>
      <c r="T51" s="6">
        <v>0</v>
      </c>
      <c r="U51" s="2"/>
      <c r="V51" s="7">
        <f t="shared" si="34"/>
        <v>0</v>
      </c>
      <c r="W51" s="2"/>
      <c r="X51" s="6">
        <f t="shared" si="35"/>
        <v>0</v>
      </c>
      <c r="Y51" s="2"/>
      <c r="Z51" s="7">
        <f t="shared" si="36"/>
        <v>0</v>
      </c>
    </row>
    <row r="52" spans="1:26" s="29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4"/>
      <c r="P52" s="1">
        <f>SUM(OSRRefP22_6x_0)</f>
        <v>96.3</v>
      </c>
      <c r="Q52" s="1"/>
      <c r="R52" s="5">
        <f t="shared" si="33"/>
        <v>9.8778348770655749E-2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96.3</v>
      </c>
      <c r="Y52" s="1"/>
      <c r="Z52" s="5">
        <f t="shared" si="36"/>
        <v>0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96.3</v>
      </c>
      <c r="Q53" s="2"/>
      <c r="R53" s="7">
        <f t="shared" si="33"/>
        <v>9.8778348770655749E-2</v>
      </c>
      <c r="S53" s="2"/>
      <c r="T53" s="6"/>
      <c r="U53" s="2"/>
      <c r="V53" s="7">
        <f t="shared" si="34"/>
        <v>0</v>
      </c>
      <c r="W53" s="2"/>
      <c r="X53" s="6">
        <f t="shared" si="35"/>
        <v>96.3</v>
      </c>
      <c r="Y53" s="2"/>
      <c r="Z53" s="7">
        <f t="shared" si="36"/>
        <v>0</v>
      </c>
    </row>
    <row r="54" spans="1:26" s="29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SUM(OSRRefP22_7x_0)</f>
        <v>7.28</v>
      </c>
      <c r="Q54" s="1"/>
      <c r="R54" s="5">
        <f t="shared" si="33"/>
        <v>7.467355961063073E-3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7.28</v>
      </c>
      <c r="Y54" s="1"/>
      <c r="Z54" s="5">
        <f t="shared" si="36"/>
        <v>0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7.28</v>
      </c>
      <c r="Q55" s="2"/>
      <c r="R55" s="7">
        <f t="shared" si="33"/>
        <v>7.467355961063073E-3</v>
      </c>
      <c r="S55" s="2"/>
      <c r="T55" s="6">
        <v>0</v>
      </c>
      <c r="U55" s="2"/>
      <c r="V55" s="7">
        <f t="shared" si="34"/>
        <v>0</v>
      </c>
      <c r="W55" s="2"/>
      <c r="X55" s="6">
        <f t="shared" si="35"/>
        <v>7.28</v>
      </c>
      <c r="Y55" s="2"/>
      <c r="Z55" s="7">
        <f t="shared" si="36"/>
        <v>0</v>
      </c>
    </row>
    <row r="56" spans="1:26" s="29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0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4"/>
      <c r="P56" s="1">
        <f>SUM(OSRRefP22_8x_0)</f>
        <v>368.88</v>
      </c>
      <c r="Q56" s="1"/>
      <c r="R56" s="5">
        <f t="shared" si="33"/>
        <v>0.37837338831276734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368.88</v>
      </c>
      <c r="Y56" s="1"/>
      <c r="Z56" s="5">
        <f t="shared" si="36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168.88</v>
      </c>
      <c r="Q57" s="2"/>
      <c r="R57" s="7">
        <f t="shared" si="33"/>
        <v>0.17322624652532029</v>
      </c>
      <c r="S57" s="2"/>
      <c r="T57" s="6"/>
      <c r="U57" s="2"/>
      <c r="V57" s="7">
        <f t="shared" si="34"/>
        <v>0</v>
      </c>
      <c r="W57" s="2"/>
      <c r="X57" s="6">
        <f t="shared" si="35"/>
        <v>168.88</v>
      </c>
      <c r="Y57" s="2"/>
      <c r="Z57" s="7">
        <f t="shared" si="36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200</v>
      </c>
      <c r="Q58" s="2"/>
      <c r="R58" s="7">
        <f t="shared" si="33"/>
        <v>0.20514714178744706</v>
      </c>
      <c r="S58" s="2"/>
      <c r="T58" s="6"/>
      <c r="U58" s="2"/>
      <c r="V58" s="7">
        <f t="shared" si="34"/>
        <v>0</v>
      </c>
      <c r="W58" s="2"/>
      <c r="X58" s="6">
        <f t="shared" si="35"/>
        <v>200</v>
      </c>
      <c r="Y58" s="2"/>
      <c r="Z58" s="7">
        <f t="shared" si="36"/>
        <v>0</v>
      </c>
    </row>
    <row r="59" spans="1:26" s="29" customFormat="1" outlineLevel="1" collapsed="1" x14ac:dyDescent="0.25">
      <c r="A59" s="27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37">IF(D$12=0,0,D59/D$12)</f>
        <v>0</v>
      </c>
      <c r="G59" s="1"/>
      <c r="H59" s="1">
        <f>SUM(OSRRefH22_9x_0)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4"/>
      <c r="P59" s="1">
        <f>SUM(OSRRefP22_9x_0)</f>
        <v>0</v>
      </c>
      <c r="Q59" s="1"/>
      <c r="R59" s="5">
        <f t="shared" ref="R59:R68" si="41">IF(P$12=0,0,P59/P$12)</f>
        <v>0</v>
      </c>
      <c r="S59" s="1"/>
      <c r="T59" s="1">
        <f>SUM(OSRRefT22_9x_0)</f>
        <v>0</v>
      </c>
      <c r="U59" s="1"/>
      <c r="V59" s="5">
        <f t="shared" ref="V59:V68" si="42">IF(T$12=0,0,T59/T$12)</f>
        <v>0</v>
      </c>
      <c r="W59" s="1"/>
      <c r="X59" s="1">
        <f t="shared" ref="X59:X68" si="43">+P59-T59</f>
        <v>0</v>
      </c>
      <c r="Y59" s="1"/>
      <c r="Z59" s="5">
        <f t="shared" ref="Z59:Z68" si="44">IF(T59=0,0,X59/T59)</f>
        <v>0</v>
      </c>
    </row>
    <row r="60" spans="1:26" s="24" customFormat="1" hidden="1" outlineLevel="2" x14ac:dyDescent="0.25">
      <c r="A60" s="28"/>
      <c r="B60" s="11" t="str">
        <f>CONCATENATE("          ", "6259", " - ", "ROYALTY &amp; COMMISSIONS")</f>
        <v xml:space="preserve">          6259 - ROYALTY &amp; COMMISSIONS</v>
      </c>
      <c r="C60" s="11"/>
      <c r="D60" s="6"/>
      <c r="E60" s="2"/>
      <c r="F60" s="7">
        <f t="shared" si="37"/>
        <v>0</v>
      </c>
      <c r="G60" s="2"/>
      <c r="H60" s="6">
        <v>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0</v>
      </c>
      <c r="U60" s="2"/>
      <c r="V60" s="7">
        <f t="shared" si="42"/>
        <v>0</v>
      </c>
      <c r="W60" s="2"/>
      <c r="X60" s="6">
        <f t="shared" si="43"/>
        <v>0</v>
      </c>
      <c r="Y60" s="2"/>
      <c r="Z60" s="7">
        <f t="shared" si="44"/>
        <v>0</v>
      </c>
    </row>
    <row r="61" spans="1:26" s="29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0</v>
      </c>
      <c r="E61" s="1"/>
      <c r="F61" s="5">
        <f t="shared" si="37"/>
        <v>0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SUM(OSRRefP22_10x_0)</f>
        <v>0</v>
      </c>
      <c r="Q61" s="1"/>
      <c r="R61" s="5">
        <f t="shared" si="41"/>
        <v>0</v>
      </c>
      <c r="S61" s="1"/>
      <c r="T61" s="1">
        <f>SUM(OSRRefT22_10x_0)</f>
        <v>0</v>
      </c>
      <c r="U61" s="1"/>
      <c r="V61" s="5">
        <f t="shared" si="42"/>
        <v>0</v>
      </c>
      <c r="W61" s="1"/>
      <c r="X61" s="1">
        <f t="shared" si="43"/>
        <v>0</v>
      </c>
      <c r="Y61" s="1"/>
      <c r="Z61" s="5">
        <f t="shared" si="44"/>
        <v>0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37"/>
        <v>0</v>
      </c>
      <c r="G62" s="2"/>
      <c r="H62" s="6">
        <v>0</v>
      </c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9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si="37"/>
        <v>0</v>
      </c>
      <c r="G63" s="1"/>
      <c r="H63" s="1">
        <f>SUM(OSRRefH22_11x_0)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SUM(OSRRefP22_11x_0)</f>
        <v>0</v>
      </c>
      <c r="Q63" s="1"/>
      <c r="R63" s="5">
        <f t="shared" si="41"/>
        <v>0</v>
      </c>
      <c r="S63" s="1"/>
      <c r="T63" s="1">
        <f>SUM(OSRRefT22_11x_0)</f>
        <v>0</v>
      </c>
      <c r="U63" s="1"/>
      <c r="V63" s="5">
        <f t="shared" si="42"/>
        <v>0</v>
      </c>
      <c r="W63" s="1"/>
      <c r="X63" s="1">
        <f t="shared" si="43"/>
        <v>0</v>
      </c>
      <c r="Y63" s="1"/>
      <c r="Z63" s="5">
        <f t="shared" si="44"/>
        <v>0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37"/>
        <v>0</v>
      </c>
      <c r="G64" s="2"/>
      <c r="H64" s="6">
        <v>0</v>
      </c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/>
      <c r="Q64" s="2"/>
      <c r="R64" s="7">
        <f t="shared" si="41"/>
        <v>0</v>
      </c>
      <c r="S64" s="2"/>
      <c r="T64" s="6">
        <v>0</v>
      </c>
      <c r="U64" s="2"/>
      <c r="V64" s="7">
        <f t="shared" si="42"/>
        <v>0</v>
      </c>
      <c r="W64" s="2"/>
      <c r="X64" s="6">
        <f t="shared" si="43"/>
        <v>0</v>
      </c>
      <c r="Y64" s="2"/>
      <c r="Z64" s="7">
        <f t="shared" si="44"/>
        <v>0</v>
      </c>
    </row>
    <row r="65" spans="1:26" s="29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37"/>
        <v>0</v>
      </c>
      <c r="G65" s="1"/>
      <c r="H65" s="1">
        <f>SUM(OSRRefH22_12x_0)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SUM(OSRRefP22_12x_0)</f>
        <v>0</v>
      </c>
      <c r="Q65" s="1"/>
      <c r="R65" s="5">
        <f t="shared" si="41"/>
        <v>0</v>
      </c>
      <c r="S65" s="1"/>
      <c r="T65" s="1">
        <f>SUM(OSRRefT22_12x_0)</f>
        <v>0</v>
      </c>
      <c r="U65" s="1"/>
      <c r="V65" s="5">
        <f t="shared" si="42"/>
        <v>0</v>
      </c>
      <c r="W65" s="1"/>
      <c r="X65" s="1">
        <f t="shared" si="43"/>
        <v>0</v>
      </c>
      <c r="Y65" s="1"/>
      <c r="Z65" s="5">
        <f t="shared" si="44"/>
        <v>0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37"/>
        <v>0</v>
      </c>
      <c r="G66" s="2"/>
      <c r="H66" s="6">
        <v>0</v>
      </c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/>
      <c r="Q66" s="2"/>
      <c r="R66" s="7">
        <f t="shared" si="41"/>
        <v>0</v>
      </c>
      <c r="S66" s="2"/>
      <c r="T66" s="6">
        <v>0</v>
      </c>
      <c r="U66" s="2"/>
      <c r="V66" s="7">
        <f t="shared" si="42"/>
        <v>0</v>
      </c>
      <c r="W66" s="2"/>
      <c r="X66" s="6">
        <f t="shared" si="43"/>
        <v>0</v>
      </c>
      <c r="Y66" s="2"/>
      <c r="Z66" s="7">
        <f t="shared" si="44"/>
        <v>0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37"/>
        <v>0</v>
      </c>
      <c r="G67" s="2"/>
      <c r="H67" s="6">
        <v>0</v>
      </c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0</v>
      </c>
      <c r="Y67" s="2"/>
      <c r="Z67" s="7">
        <f t="shared" si="44"/>
        <v>0</v>
      </c>
    </row>
    <row r="68" spans="1:26" s="24" customFormat="1" hidden="1" outlineLevel="2" x14ac:dyDescent="0.25">
      <c r="A68" s="28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7"/>
        <v>0</v>
      </c>
      <c r="G68" s="2"/>
      <c r="H68" s="6">
        <v>0</v>
      </c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/>
      <c r="Q68" s="2"/>
      <c r="R68" s="7">
        <f t="shared" si="41"/>
        <v>0</v>
      </c>
      <c r="S68" s="2"/>
      <c r="T68" s="6">
        <v>0</v>
      </c>
      <c r="U68" s="2"/>
      <c r="V68" s="7">
        <f t="shared" si="42"/>
        <v>0</v>
      </c>
      <c r="W68" s="2"/>
      <c r="X68" s="6">
        <f t="shared" si="43"/>
        <v>0</v>
      </c>
      <c r="Y68" s="2"/>
      <c r="Z68" s="7">
        <f t="shared" si="44"/>
        <v>0</v>
      </c>
    </row>
    <row r="69" spans="1:26" s="29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0</v>
      </c>
      <c r="E69" s="1"/>
      <c r="F69" s="5">
        <f t="shared" ref="F69:F74" si="45">IF(D$12=0,0,D69/D$12)</f>
        <v>0</v>
      </c>
      <c r="G69" s="1"/>
      <c r="H69" s="1">
        <f>SUM(OSRRefH22_13x_0)</f>
        <v>0</v>
      </c>
      <c r="I69" s="1"/>
      <c r="J69" s="5">
        <f t="shared" ref="J69:J74" si="46">IF(H$12=0,0,H69/H$12)</f>
        <v>0</v>
      </c>
      <c r="K69" s="1"/>
      <c r="L69" s="1">
        <f t="shared" ref="L69:L74" si="47">+D69-H69</f>
        <v>0</v>
      </c>
      <c r="M69" s="1"/>
      <c r="N69" s="5">
        <f t="shared" ref="N69:N74" si="48">IF(H69=0,0,L69/H69)</f>
        <v>0</v>
      </c>
      <c r="O69" s="14"/>
      <c r="P69" s="1">
        <f>SUM(OSRRefP22_13x_0)</f>
        <v>0</v>
      </c>
      <c r="Q69" s="1"/>
      <c r="R69" s="5">
        <f t="shared" ref="R69:R74" si="49">IF(P$12=0,0,P69/P$12)</f>
        <v>0</v>
      </c>
      <c r="S69" s="1"/>
      <c r="T69" s="1">
        <f>SUM(OSRRefT22_13x_0)</f>
        <v>0</v>
      </c>
      <c r="U69" s="1"/>
      <c r="V69" s="5">
        <f t="shared" ref="V69:V74" si="50">IF(T$12=0,0,T69/T$12)</f>
        <v>0</v>
      </c>
      <c r="W69" s="1"/>
      <c r="X69" s="1">
        <f t="shared" ref="X69:X74" si="51">+P69-T69</f>
        <v>0</v>
      </c>
      <c r="Y69" s="1"/>
      <c r="Z69" s="5">
        <f t="shared" ref="Z69:Z74" si="52">IF(T69=0,0,X69/T69)</f>
        <v>0</v>
      </c>
    </row>
    <row r="70" spans="1:26" s="24" customFormat="1" hidden="1" outlineLevel="2" x14ac:dyDescent="0.25">
      <c r="A70" s="28"/>
      <c r="B70" s="11" t="str">
        <f>CONCATENATE("          ", "6309", " - ", "TELEPHONE")</f>
        <v xml:space="preserve">          6309 - TELEPHONE</v>
      </c>
      <c r="C70" s="11"/>
      <c r="D70" s="6"/>
      <c r="E70" s="2"/>
      <c r="F70" s="7">
        <f t="shared" si="45"/>
        <v>0</v>
      </c>
      <c r="G70" s="2"/>
      <c r="H70" s="6">
        <v>0</v>
      </c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0</v>
      </c>
      <c r="U70" s="2"/>
      <c r="V70" s="7">
        <f t="shared" si="50"/>
        <v>0</v>
      </c>
      <c r="W70" s="2"/>
      <c r="X70" s="6">
        <f t="shared" si="51"/>
        <v>0</v>
      </c>
      <c r="Y70" s="2"/>
      <c r="Z70" s="7">
        <f t="shared" si="52"/>
        <v>0</v>
      </c>
    </row>
    <row r="71" spans="1:26" s="29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45"/>
        <v>0</v>
      </c>
      <c r="G71" s="1"/>
      <c r="H71" s="1">
        <f>SUM(OSRRefH22_14x_0)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4"/>
      <c r="P71" s="1">
        <f>SUM(OSRRefP22_14x_0)</f>
        <v>0</v>
      </c>
      <c r="Q71" s="1"/>
      <c r="R71" s="5">
        <f t="shared" si="49"/>
        <v>0</v>
      </c>
      <c r="S71" s="1"/>
      <c r="T71" s="1">
        <f>SUM(OSRRefT22_14x_0)</f>
        <v>0</v>
      </c>
      <c r="U71" s="1"/>
      <c r="V71" s="5">
        <f t="shared" si="50"/>
        <v>0</v>
      </c>
      <c r="W71" s="1"/>
      <c r="X71" s="1">
        <f t="shared" si="51"/>
        <v>0</v>
      </c>
      <c r="Y71" s="1"/>
      <c r="Z71" s="5">
        <f t="shared" si="52"/>
        <v>0</v>
      </c>
    </row>
    <row r="72" spans="1:26" s="24" customFormat="1" hidden="1" outlineLevel="2" x14ac:dyDescent="0.25">
      <c r="A72" s="28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/>
      <c r="Q72" s="2"/>
      <c r="R72" s="7">
        <f t="shared" si="49"/>
        <v>0</v>
      </c>
      <c r="S72" s="2"/>
      <c r="T72" s="6">
        <v>0</v>
      </c>
      <c r="U72" s="2"/>
      <c r="V72" s="7">
        <f t="shared" si="50"/>
        <v>0</v>
      </c>
      <c r="W72" s="2"/>
      <c r="X72" s="6">
        <f t="shared" si="51"/>
        <v>0</v>
      </c>
      <c r="Y72" s="2"/>
      <c r="Z72" s="7">
        <f t="shared" si="52"/>
        <v>0</v>
      </c>
    </row>
    <row r="73" spans="1:26" s="29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45"/>
        <v>0</v>
      </c>
      <c r="G73" s="1"/>
      <c r="H73" s="1">
        <f>SUM(OSRRefH22_15x_0)</f>
        <v>0</v>
      </c>
      <c r="I73" s="1"/>
      <c r="J73" s="5">
        <f t="shared" si="46"/>
        <v>0</v>
      </c>
      <c r="K73" s="1"/>
      <c r="L73" s="1">
        <f t="shared" si="47"/>
        <v>0</v>
      </c>
      <c r="M73" s="1"/>
      <c r="N73" s="5">
        <f t="shared" si="48"/>
        <v>0</v>
      </c>
      <c r="O73" s="14"/>
      <c r="P73" s="1">
        <f>SUM(OSRRefP22_15x_0)</f>
        <v>0</v>
      </c>
      <c r="Q73" s="1"/>
      <c r="R73" s="5">
        <f t="shared" si="49"/>
        <v>0</v>
      </c>
      <c r="S73" s="1"/>
      <c r="T73" s="1">
        <f>SUM(OSRRefT22_15x_0)</f>
        <v>0</v>
      </c>
      <c r="U73" s="1"/>
      <c r="V73" s="5">
        <f t="shared" si="50"/>
        <v>0</v>
      </c>
      <c r="W73" s="1"/>
      <c r="X73" s="1">
        <f t="shared" si="51"/>
        <v>0</v>
      </c>
      <c r="Y73" s="1"/>
      <c r="Z73" s="5">
        <f t="shared" si="52"/>
        <v>0</v>
      </c>
    </row>
    <row r="74" spans="1:26" s="24" customFormat="1" hidden="1" outlineLevel="2" x14ac:dyDescent="0.25">
      <c r="A74" s="28"/>
      <c r="B74" s="11" t="str">
        <f>CONCATENATE("          ", "6292", " - ", "TRAVEL/CONFERENCE")</f>
        <v xml:space="preserve">          6292 - TRAVEL/CONFERENCE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/>
      <c r="Q74" s="2"/>
      <c r="R74" s="7">
        <f t="shared" si="49"/>
        <v>0</v>
      </c>
      <c r="S74" s="2"/>
      <c r="T74" s="6">
        <v>0</v>
      </c>
      <c r="U74" s="2"/>
      <c r="V74" s="7">
        <f t="shared" si="50"/>
        <v>0</v>
      </c>
      <c r="W74" s="2"/>
      <c r="X74" s="6">
        <f t="shared" si="51"/>
        <v>0</v>
      </c>
      <c r="Y74" s="2"/>
      <c r="Z74" s="7">
        <f t="shared" si="52"/>
        <v>0</v>
      </c>
    </row>
    <row r="75" spans="1:26" s="62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+D20-D22+D76</f>
        <v>-1825.26</v>
      </c>
      <c r="E78" s="13"/>
      <c r="F78" s="20">
        <f>IF(D$12=0,0,D78/D$12)</f>
        <v>0</v>
      </c>
      <c r="G78" s="13"/>
      <c r="H78" s="21">
        <f>+H20-H22+H76</f>
        <v>-1972</v>
      </c>
      <c r="I78" s="13"/>
      <c r="J78" s="20">
        <f>IF(H$12=0,0,H78/H$12)</f>
        <v>0</v>
      </c>
      <c r="K78" s="16"/>
      <c r="L78" s="21">
        <f>+D78-H78</f>
        <v>146.74</v>
      </c>
      <c r="M78" s="16"/>
      <c r="N78" s="20">
        <f>IF(H78=0,0,L78/H78)</f>
        <v>-7.4411764705882358E-2</v>
      </c>
      <c r="O78" s="26"/>
      <c r="P78" s="21">
        <f>+P20-P22+P76</f>
        <v>-9473.15</v>
      </c>
      <c r="Q78" s="13"/>
      <c r="R78" s="20">
        <f>IF(P$12=0,0,P78/P$12)</f>
        <v>-9.7169482311187707</v>
      </c>
      <c r="S78" s="13"/>
      <c r="T78" s="21">
        <f>+T20-T22+T76</f>
        <v>-9860</v>
      </c>
      <c r="U78" s="13"/>
      <c r="V78" s="20">
        <f>IF(T$12=0,0,T78/T$12)</f>
        <v>0</v>
      </c>
      <c r="W78" s="16"/>
      <c r="X78" s="21">
        <f>+P78-T78</f>
        <v>386.85000000000036</v>
      </c>
      <c r="Y78" s="16"/>
      <c r="Z78" s="20">
        <f>IF(T78=0,0,X78/T78)</f>
        <v>-3.9234279918864134E-2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-56.28</v>
      </c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-56.28</v>
      </c>
      <c r="M80" s="4"/>
      <c r="N80" s="12">
        <f>IF(H80=0,0,L80/H80)</f>
        <v>0</v>
      </c>
      <c r="O80" s="10"/>
      <c r="P80" s="4">
        <v>154.91</v>
      </c>
      <c r="Q80" s="4"/>
      <c r="R80" s="12">
        <f>IF(P$12=0,0,P80/P$12)</f>
        <v>0.15889671867146712</v>
      </c>
      <c r="S80" s="4"/>
      <c r="T80" s="4"/>
      <c r="U80" s="4"/>
      <c r="V80" s="12">
        <f>IF(T$12=0,0,T80/T$12)</f>
        <v>0</v>
      </c>
      <c r="W80" s="4"/>
      <c r="X80" s="4">
        <f>+P80-T80</f>
        <v>154.91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1">
        <f>+D78-D80</f>
        <v>-1768.98</v>
      </c>
      <c r="E82" s="13"/>
      <c r="F82" s="34">
        <f>IF(D$12=0,0,D82/D$12)</f>
        <v>0</v>
      </c>
      <c r="G82" s="13"/>
      <c r="H82" s="31">
        <f>+H78-H80</f>
        <v>-1972</v>
      </c>
      <c r="I82" s="13"/>
      <c r="J82" s="34">
        <f>IF(H$12=0,0,H82/H$12)</f>
        <v>0</v>
      </c>
      <c r="K82" s="16"/>
      <c r="L82" s="31">
        <f>D82-H82</f>
        <v>203.01999999999998</v>
      </c>
      <c r="M82" s="16"/>
      <c r="N82" s="34">
        <f>IF(H82=0,0,L82/H82)</f>
        <v>-0.10295131845841785</v>
      </c>
      <c r="O82" s="26"/>
      <c r="P82" s="31">
        <f>+P78-P80</f>
        <v>-9628.06</v>
      </c>
      <c r="Q82" s="13"/>
      <c r="R82" s="34">
        <f>IF(P$12=0,0,P82/P$12)</f>
        <v>-9.8758449497902365</v>
      </c>
      <c r="S82" s="13"/>
      <c r="T82" s="31">
        <f>+T78-T80</f>
        <v>-9860</v>
      </c>
      <c r="U82" s="13"/>
      <c r="V82" s="34">
        <f>IF(T$12=0,0,T82/T$12)</f>
        <v>0</v>
      </c>
      <c r="W82" s="16"/>
      <c r="X82" s="31">
        <f>P82-T82</f>
        <v>231.94000000000051</v>
      </c>
      <c r="Y82" s="16"/>
      <c r="Z82" s="34">
        <f>IF(T82=0,0,X82/T82)</f>
        <v>-2.3523326572008164E-2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-1768.98</v>
      </c>
      <c r="E85" s="13"/>
      <c r="F85" s="30">
        <f>IF(D$12=0,0,D85/D$12)</f>
        <v>0</v>
      </c>
      <c r="G85" s="13"/>
      <c r="H85" s="33">
        <f>SUM(H82:H84)</f>
        <v>-1972</v>
      </c>
      <c r="I85" s="13"/>
      <c r="J85" s="30">
        <f>IF(H$12=0,0,H85/H$12)</f>
        <v>0</v>
      </c>
      <c r="K85" s="16"/>
      <c r="L85" s="33">
        <f>+D85-H85</f>
        <v>203.01999999999998</v>
      </c>
      <c r="M85" s="16"/>
      <c r="N85" s="30">
        <f>IF(H85=0,0,L85/H85)</f>
        <v>-0.10295131845841785</v>
      </c>
      <c r="O85" s="26"/>
      <c r="P85" s="33">
        <f>SUM(P82:P84)</f>
        <v>-9628.06</v>
      </c>
      <c r="Q85" s="13"/>
      <c r="R85" s="30">
        <f>IF(P$12=0,0,P85/P$12)</f>
        <v>-9.8758449497902365</v>
      </c>
      <c r="S85" s="13"/>
      <c r="T85" s="33">
        <f>SUM(T82:T84)</f>
        <v>-9860</v>
      </c>
      <c r="U85" s="13"/>
      <c r="V85" s="30">
        <f>IF(T$12=0,0,T85/T$12)</f>
        <v>0</v>
      </c>
      <c r="W85" s="16"/>
      <c r="X85" s="33">
        <f>+P85-T85</f>
        <v>231.94000000000051</v>
      </c>
      <c r="Y85" s="16"/>
      <c r="Z85" s="30">
        <f>IF(T85=0,0,X85/T85)</f>
        <v>-2.3523326572008164E-2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>
        <v>44174.679957986111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8657.7200000000012</v>
      </c>
      <c r="E12" s="4"/>
      <c r="F12" s="12"/>
      <c r="G12" s="4"/>
      <c r="H12" s="4">
        <f>SUM(OSRRefH13x_0)</f>
        <v>15674</v>
      </c>
      <c r="I12" s="4"/>
      <c r="J12" s="12"/>
      <c r="K12" s="4"/>
      <c r="L12" s="4">
        <f t="shared" ref="L12:L16" si="0">+D12-H12</f>
        <v>-7016.2799999999988</v>
      </c>
      <c r="M12" s="4"/>
      <c r="N12" s="12">
        <f t="shared" ref="N12:N16" si="1">IF(H12=0,0,L12/H12)</f>
        <v>-0.44763812683424775</v>
      </c>
      <c r="O12" s="10"/>
      <c r="P12" s="4">
        <f>SUM(OSRRefP13x_0)</f>
        <v>35343.919999999998</v>
      </c>
      <c r="Q12" s="4"/>
      <c r="R12" s="12"/>
      <c r="S12" s="4"/>
      <c r="T12" s="4">
        <f>SUM(OSRRefT13x_0)</f>
        <v>77190</v>
      </c>
      <c r="U12" s="4"/>
      <c r="V12" s="12"/>
      <c r="W12" s="4"/>
      <c r="X12" s="4">
        <f t="shared" ref="X12:X16" si="2">+P12-T12</f>
        <v>-41846.080000000002</v>
      </c>
      <c r="Y12" s="4"/>
      <c r="Z12" s="12">
        <f t="shared" ref="Z12:Z16" si="3">IF(T12=0,0,X12/T12)</f>
        <v>-0.54211789091851281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4875</v>
      </c>
      <c r="I13" s="2"/>
      <c r="J13" s="22"/>
      <c r="K13" s="2"/>
      <c r="L13" s="2">
        <f t="shared" si="0"/>
        <v>-4875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24008</v>
      </c>
      <c r="U13" s="2"/>
      <c r="V13" s="22"/>
      <c r="W13" s="2"/>
      <c r="X13" s="2">
        <f t="shared" si="2"/>
        <v>-24008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--4501.27</f>
        <v>4501.2700000000004</v>
      </c>
      <c r="E14" s="2"/>
      <c r="F14" s="22"/>
      <c r="G14" s="2"/>
      <c r="H14" s="2"/>
      <c r="I14" s="2"/>
      <c r="J14" s="22"/>
      <c r="K14" s="2"/>
      <c r="L14" s="2">
        <f t="shared" si="0"/>
        <v>4501.2700000000004</v>
      </c>
      <c r="M14" s="2"/>
      <c r="N14" s="22">
        <f t="shared" si="1"/>
        <v>0</v>
      </c>
      <c r="O14" s="11"/>
      <c r="P14" s="2">
        <f>--17251.21</f>
        <v>17251.21</v>
      </c>
      <c r="Q14" s="2"/>
      <c r="R14" s="22"/>
      <c r="S14" s="2"/>
      <c r="T14" s="2"/>
      <c r="U14" s="2"/>
      <c r="V14" s="22"/>
      <c r="W14" s="2"/>
      <c r="X14" s="2">
        <f t="shared" si="2"/>
        <v>17251.21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10799</v>
      </c>
      <c r="I15" s="2"/>
      <c r="J15" s="22"/>
      <c r="K15" s="2"/>
      <c r="L15" s="2">
        <f t="shared" si="0"/>
        <v>-10799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53182</v>
      </c>
      <c r="U15" s="2"/>
      <c r="V15" s="22"/>
      <c r="W15" s="2"/>
      <c r="X15" s="2">
        <f t="shared" si="2"/>
        <v>-53182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--4156.45</f>
        <v>4156.45</v>
      </c>
      <c r="E16" s="2"/>
      <c r="F16" s="22"/>
      <c r="G16" s="2"/>
      <c r="H16" s="2"/>
      <c r="I16" s="2"/>
      <c r="J16" s="22"/>
      <c r="K16" s="2"/>
      <c r="L16" s="2">
        <f t="shared" si="0"/>
        <v>4156.45</v>
      </c>
      <c r="M16" s="2"/>
      <c r="N16" s="22">
        <f t="shared" si="1"/>
        <v>0</v>
      </c>
      <c r="O16" s="11"/>
      <c r="P16" s="2">
        <f>--18092.71</f>
        <v>18092.71</v>
      </c>
      <c r="Q16" s="2"/>
      <c r="R16" s="22"/>
      <c r="S16" s="2"/>
      <c r="T16" s="2"/>
      <c r="U16" s="2"/>
      <c r="V16" s="22"/>
      <c r="W16" s="2"/>
      <c r="X16" s="2">
        <f t="shared" si="2"/>
        <v>18092.71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2843.9300000000003</v>
      </c>
      <c r="E18" s="4"/>
      <c r="F18" s="12">
        <f t="shared" ref="F18:F21" si="4">IF(D$12=0,0,D18/D$12)</f>
        <v>0.32848486668545529</v>
      </c>
      <c r="G18" s="4"/>
      <c r="H18" s="4">
        <f>SUM(OSRRefH16x_0)</f>
        <v>5172</v>
      </c>
      <c r="I18" s="4"/>
      <c r="J18" s="12">
        <f t="shared" ref="J18:J21" si="5">IF(H$12=0,0,H18/H$12)</f>
        <v>0.32997320403215519</v>
      </c>
      <c r="K18" s="4"/>
      <c r="L18" s="4">
        <f t="shared" ref="L18:L21" si="6">+D18-H18</f>
        <v>-2328.0699999999997</v>
      </c>
      <c r="M18" s="4"/>
      <c r="N18" s="12">
        <f t="shared" ref="N18:N21" si="7">IF(H18=0,0,L18/H18)</f>
        <v>-0.450129543696829</v>
      </c>
      <c r="O18" s="10"/>
      <c r="P18" s="4">
        <f>SUM(OSRRefP16x_0)</f>
        <v>14656.4</v>
      </c>
      <c r="Q18" s="4"/>
      <c r="R18" s="12">
        <f t="shared" ref="R18:R21" si="8">IF(P$12=0,0,P18/P$12)</f>
        <v>0.4146795262098828</v>
      </c>
      <c r="S18" s="4"/>
      <c r="T18" s="4">
        <f>SUM(OSRRefT16x_0)</f>
        <v>24480</v>
      </c>
      <c r="U18" s="4"/>
      <c r="V18" s="12">
        <f t="shared" ref="V18:V21" si="9">IF(T$12=0,0,T18/T$12)</f>
        <v>0.31713952584531674</v>
      </c>
      <c r="W18" s="4"/>
      <c r="X18" s="4">
        <f t="shared" ref="X18:X21" si="10">+P18-T18</f>
        <v>-9823.6</v>
      </c>
      <c r="Y18" s="4"/>
      <c r="Z18" s="12">
        <f t="shared" ref="Z18:Z21" si="11">IF(T18=0,0,X18/T18)</f>
        <v>-0.40129084967320261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5172</v>
      </c>
      <c r="I19" s="2"/>
      <c r="J19" s="22">
        <f t="shared" si="5"/>
        <v>0.32997320403215519</v>
      </c>
      <c r="K19" s="2"/>
      <c r="L19" s="2">
        <f t="shared" si="6"/>
        <v>-5172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24480</v>
      </c>
      <c r="U19" s="2"/>
      <c r="V19" s="22">
        <f t="shared" si="9"/>
        <v>0.31713952584531674</v>
      </c>
      <c r="W19" s="2"/>
      <c r="X19" s="2">
        <f t="shared" si="10"/>
        <v>-24480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1847.93</v>
      </c>
      <c r="E20" s="2"/>
      <c r="F20" s="22">
        <f t="shared" si="4"/>
        <v>0.21344303119065988</v>
      </c>
      <c r="G20" s="2"/>
      <c r="H20" s="2"/>
      <c r="I20" s="2"/>
      <c r="J20" s="22">
        <f t="shared" si="5"/>
        <v>0</v>
      </c>
      <c r="K20" s="2"/>
      <c r="L20" s="2">
        <f t="shared" si="6"/>
        <v>1847.93</v>
      </c>
      <c r="M20" s="2"/>
      <c r="N20" s="22">
        <f t="shared" si="7"/>
        <v>0</v>
      </c>
      <c r="O20" s="11"/>
      <c r="P20" s="2">
        <v>11477.34</v>
      </c>
      <c r="Q20" s="2"/>
      <c r="R20" s="22">
        <f t="shared" si="8"/>
        <v>0.32473307997528289</v>
      </c>
      <c r="S20" s="2"/>
      <c r="T20" s="2"/>
      <c r="U20" s="2"/>
      <c r="V20" s="22">
        <f t="shared" si="9"/>
        <v>0</v>
      </c>
      <c r="W20" s="2"/>
      <c r="X20" s="2">
        <f t="shared" si="10"/>
        <v>11477.34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996</v>
      </c>
      <c r="E21" s="2"/>
      <c r="F21" s="22">
        <f t="shared" si="4"/>
        <v>0.11504183549479538</v>
      </c>
      <c r="G21" s="2"/>
      <c r="H21" s="2"/>
      <c r="I21" s="2"/>
      <c r="J21" s="22">
        <f t="shared" si="5"/>
        <v>0</v>
      </c>
      <c r="K21" s="2"/>
      <c r="L21" s="2">
        <f t="shared" si="6"/>
        <v>996</v>
      </c>
      <c r="M21" s="2"/>
      <c r="N21" s="22">
        <f t="shared" si="7"/>
        <v>0</v>
      </c>
      <c r="O21" s="11"/>
      <c r="P21" s="2">
        <v>3179.06</v>
      </c>
      <c r="Q21" s="2"/>
      <c r="R21" s="22">
        <f t="shared" si="8"/>
        <v>8.9946446234599894E-2</v>
      </c>
      <c r="S21" s="2"/>
      <c r="T21" s="2"/>
      <c r="U21" s="2"/>
      <c r="V21" s="22">
        <f t="shared" si="9"/>
        <v>0</v>
      </c>
      <c r="W21" s="2"/>
      <c r="X21" s="2">
        <f t="shared" si="10"/>
        <v>3179.06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5813.7900000000009</v>
      </c>
      <c r="E23" s="13"/>
      <c r="F23" s="20">
        <f>IF(D$12=0,0,D23/D$12)</f>
        <v>0.67151513331454471</v>
      </c>
      <c r="G23" s="13"/>
      <c r="H23" s="21">
        <f>H12-H18</f>
        <v>10502</v>
      </c>
      <c r="I23" s="13"/>
      <c r="J23" s="20">
        <f>IF(H$12=0,0,H23/H$12)</f>
        <v>0.67002679596784487</v>
      </c>
      <c r="K23" s="16"/>
      <c r="L23" s="21">
        <f>+D23-H23</f>
        <v>-4688.2099999999991</v>
      </c>
      <c r="M23" s="16"/>
      <c r="N23" s="20">
        <f>IF(H23=0,0,L23/H23)</f>
        <v>-0.44641115977908963</v>
      </c>
      <c r="O23" s="26"/>
      <c r="P23" s="21">
        <f>P12-P18</f>
        <v>20687.519999999997</v>
      </c>
      <c r="Q23" s="13"/>
      <c r="R23" s="20">
        <f>IF(P$12=0,0,P23/P$12)</f>
        <v>0.5853204737901172</v>
      </c>
      <c r="S23" s="13"/>
      <c r="T23" s="21">
        <f>T12-T18</f>
        <v>52710</v>
      </c>
      <c r="U23" s="13"/>
      <c r="V23" s="20">
        <f>IF(T$12=0,0,T23/T$12)</f>
        <v>0.68286047415468321</v>
      </c>
      <c r="W23" s="16"/>
      <c r="X23" s="21">
        <f>+P23-T23</f>
        <v>-32022.480000000003</v>
      </c>
      <c r="Y23" s="16"/>
      <c r="Z23" s="20">
        <f>IF(T23=0,0,X23/T23)</f>
        <v>-0.60752191235059771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57889.59</v>
      </c>
      <c r="E25" s="19"/>
      <c r="F25" s="35">
        <f t="shared" ref="F25:F35" si="12">IF(D$12=0,0,D25/D$12)</f>
        <v>6.6864705719288668</v>
      </c>
      <c r="G25" s="19"/>
      <c r="H25" s="19">
        <f>SUM(OSRRefH22x_0)</f>
        <v>53334.833186630771</v>
      </c>
      <c r="I25" s="19"/>
      <c r="J25" s="35">
        <f t="shared" ref="J25:J35" si="13">IF(H$12=0,0,H25/H$12)</f>
        <v>3.4027582739971143</v>
      </c>
      <c r="K25" s="4"/>
      <c r="L25" s="19">
        <f t="shared" ref="L25:L35" si="14">+D25-H25</f>
        <v>4554.7568133692257</v>
      </c>
      <c r="M25" s="4"/>
      <c r="N25" s="35">
        <f t="shared" ref="N25:N35" si="15">IF(H25=0,0,L25/H25)</f>
        <v>8.5399288630585768E-2</v>
      </c>
      <c r="O25" s="10"/>
      <c r="P25" s="19">
        <f>SUM(OSRRefP22x_0)</f>
        <v>323803.5</v>
      </c>
      <c r="Q25" s="19"/>
      <c r="R25" s="35">
        <f t="shared" ref="R25:R35" si="16">IF(P$12=0,0,P25/P$12)</f>
        <v>9.1615050056699996</v>
      </c>
      <c r="S25" s="19"/>
      <c r="T25" s="19">
        <f>SUM(OSRRefT22x_0)</f>
        <v>278537.67392954614</v>
      </c>
      <c r="U25" s="19"/>
      <c r="V25" s="35">
        <f t="shared" ref="V25:V35" si="17">IF(T$12=0,0,T25/T$12)</f>
        <v>3.6084683758200047</v>
      </c>
      <c r="W25" s="4"/>
      <c r="X25" s="19">
        <f t="shared" ref="X25:X35" si="18">+P25-T25</f>
        <v>45265.826070453855</v>
      </c>
      <c r="Y25" s="4"/>
      <c r="Z25" s="35">
        <f t="shared" ref="Z25:Z35" si="19">IF(T25=0,0,X25/T25)</f>
        <v>0.16251240068122161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14153.699999999999</v>
      </c>
      <c r="E26" s="1"/>
      <c r="F26" s="5">
        <f t="shared" si="12"/>
        <v>1.6348068544605274</v>
      </c>
      <c r="G26" s="1"/>
      <c r="H26" s="1">
        <f>SUM(OSRRefH22_0x_0)</f>
        <v>5443.8991866307697</v>
      </c>
      <c r="I26" s="1"/>
      <c r="J26" s="5">
        <f t="shared" si="13"/>
        <v>0.34732035132262151</v>
      </c>
      <c r="K26" s="1"/>
      <c r="L26" s="1">
        <f t="shared" si="14"/>
        <v>8709.8008133692292</v>
      </c>
      <c r="M26" s="1"/>
      <c r="N26" s="5">
        <f t="shared" si="15"/>
        <v>1.5999195640431627</v>
      </c>
      <c r="O26" s="14"/>
      <c r="P26" s="1">
        <f>SUM(OSRRefP22_0x_0)</f>
        <v>68795.83</v>
      </c>
      <c r="Q26" s="1"/>
      <c r="R26" s="5">
        <f t="shared" si="16"/>
        <v>1.94646858639336</v>
      </c>
      <c r="S26" s="1"/>
      <c r="T26" s="1">
        <f>SUM(OSRRefT22_0x_0)</f>
        <v>30849.088929546157</v>
      </c>
      <c r="U26" s="1"/>
      <c r="V26" s="5">
        <f t="shared" si="17"/>
        <v>0.39965136584461919</v>
      </c>
      <c r="W26" s="1"/>
      <c r="X26" s="1">
        <f t="shared" si="18"/>
        <v>37946.741070453849</v>
      </c>
      <c r="Y26" s="1"/>
      <c r="Z26" s="5">
        <f t="shared" si="19"/>
        <v>1.2300765561380911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1432.28</v>
      </c>
      <c r="E27" s="2"/>
      <c r="F27" s="7">
        <f t="shared" si="12"/>
        <v>0.16543385556474449</v>
      </c>
      <c r="G27" s="2"/>
      <c r="H27" s="6">
        <v>607.08034740000005</v>
      </c>
      <c r="I27" s="2"/>
      <c r="J27" s="7">
        <f t="shared" si="13"/>
        <v>3.873167968610438E-2</v>
      </c>
      <c r="K27" s="2"/>
      <c r="L27" s="6">
        <f t="shared" si="14"/>
        <v>825.19965259999992</v>
      </c>
      <c r="M27" s="2"/>
      <c r="N27" s="7">
        <f t="shared" si="15"/>
        <v>1.3592923179512562</v>
      </c>
      <c r="O27" s="11"/>
      <c r="P27" s="6">
        <v>8284.06</v>
      </c>
      <c r="Q27" s="2"/>
      <c r="R27" s="7">
        <f t="shared" si="16"/>
        <v>0.23438430145835548</v>
      </c>
      <c r="S27" s="2"/>
      <c r="T27" s="6">
        <v>3673.8371907000001</v>
      </c>
      <c r="U27" s="2"/>
      <c r="V27" s="7">
        <f t="shared" si="17"/>
        <v>4.7594729766809174E-2</v>
      </c>
      <c r="W27" s="2"/>
      <c r="X27" s="6">
        <f t="shared" si="18"/>
        <v>4610.2228092999994</v>
      </c>
      <c r="Y27" s="2"/>
      <c r="Z27" s="7">
        <f t="shared" si="19"/>
        <v>1.2548794543673243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1051.44</v>
      </c>
      <c r="E28" s="2"/>
      <c r="F28" s="7">
        <f t="shared" si="12"/>
        <v>0.12144536898860207</v>
      </c>
      <c r="G28" s="2"/>
      <c r="H28" s="6">
        <v>490.44052199999999</v>
      </c>
      <c r="I28" s="2"/>
      <c r="J28" s="7">
        <f t="shared" si="13"/>
        <v>3.1290067755518694E-2</v>
      </c>
      <c r="K28" s="2"/>
      <c r="L28" s="6">
        <f t="shared" si="14"/>
        <v>560.99947800000007</v>
      </c>
      <c r="M28" s="2"/>
      <c r="N28" s="7">
        <f t="shared" si="15"/>
        <v>1.1438685280577205</v>
      </c>
      <c r="O28" s="11"/>
      <c r="P28" s="6">
        <v>3480.19</v>
      </c>
      <c r="Q28" s="2"/>
      <c r="R28" s="7">
        <f t="shared" si="16"/>
        <v>9.8466440621187465E-2</v>
      </c>
      <c r="S28" s="2"/>
      <c r="T28" s="6">
        <v>2758.443831</v>
      </c>
      <c r="U28" s="2"/>
      <c r="V28" s="7">
        <f t="shared" si="17"/>
        <v>3.5735766692576762E-2</v>
      </c>
      <c r="W28" s="2"/>
      <c r="X28" s="6">
        <f t="shared" si="18"/>
        <v>721.74616900000001</v>
      </c>
      <c r="Y28" s="2"/>
      <c r="Z28" s="7">
        <f t="shared" si="19"/>
        <v>0.26164976095900788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6712.24</v>
      </c>
      <c r="E29" s="2"/>
      <c r="F29" s="7">
        <f t="shared" si="12"/>
        <v>0.77528956815420214</v>
      </c>
      <c r="G29" s="2"/>
      <c r="H29" s="6">
        <v>2984.23076923077</v>
      </c>
      <c r="I29" s="2"/>
      <c r="J29" s="7">
        <f t="shared" si="13"/>
        <v>0.1903936946044896</v>
      </c>
      <c r="K29" s="2"/>
      <c r="L29" s="6">
        <f t="shared" si="14"/>
        <v>3728.0092307692298</v>
      </c>
      <c r="M29" s="2"/>
      <c r="N29" s="7">
        <f t="shared" si="15"/>
        <v>1.2492362417837344</v>
      </c>
      <c r="O29" s="11"/>
      <c r="P29" s="6">
        <v>34219.15</v>
      </c>
      <c r="Q29" s="2"/>
      <c r="R29" s="7">
        <f t="shared" si="16"/>
        <v>0.96817642185699837</v>
      </c>
      <c r="S29" s="2"/>
      <c r="T29" s="6">
        <v>16748.846153846152</v>
      </c>
      <c r="U29" s="2"/>
      <c r="V29" s="7">
        <f t="shared" si="17"/>
        <v>0.21698207220943325</v>
      </c>
      <c r="W29" s="2"/>
      <c r="X29" s="6">
        <f t="shared" si="18"/>
        <v>17470.303846153849</v>
      </c>
      <c r="Y29" s="2"/>
      <c r="Z29" s="7">
        <f t="shared" si="19"/>
        <v>1.0430750683169911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94.49</v>
      </c>
      <c r="E30" s="2"/>
      <c r="F30" s="7">
        <f t="shared" si="12"/>
        <v>1.091395887138877E-2</v>
      </c>
      <c r="G30" s="2"/>
      <c r="H30" s="6">
        <v>29.723668</v>
      </c>
      <c r="I30" s="2"/>
      <c r="J30" s="7">
        <f t="shared" si="13"/>
        <v>1.8963677427587086E-3</v>
      </c>
      <c r="K30" s="2"/>
      <c r="L30" s="6">
        <f t="shared" si="14"/>
        <v>64.766331999999991</v>
      </c>
      <c r="M30" s="2"/>
      <c r="N30" s="7">
        <f t="shared" si="15"/>
        <v>2.1789481701921845</v>
      </c>
      <c r="O30" s="11"/>
      <c r="P30" s="6">
        <v>313</v>
      </c>
      <c r="Q30" s="2"/>
      <c r="R30" s="7">
        <f t="shared" si="16"/>
        <v>8.8558371567160638E-3</v>
      </c>
      <c r="S30" s="2"/>
      <c r="T30" s="6">
        <v>167.178414</v>
      </c>
      <c r="U30" s="2"/>
      <c r="V30" s="7">
        <f t="shared" si="17"/>
        <v>2.1658040419743492E-3</v>
      </c>
      <c r="W30" s="2"/>
      <c r="X30" s="6">
        <f t="shared" si="18"/>
        <v>145.821586</v>
      </c>
      <c r="Y30" s="2"/>
      <c r="Z30" s="7">
        <f t="shared" si="19"/>
        <v>0.87225128239343142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2147.73</v>
      </c>
      <c r="E31" s="2"/>
      <c r="F31" s="7">
        <f t="shared" si="12"/>
        <v>0.24807108568999686</v>
      </c>
      <c r="G31" s="2"/>
      <c r="H31" s="6">
        <v>434.17788000000002</v>
      </c>
      <c r="I31" s="2"/>
      <c r="J31" s="7">
        <f t="shared" si="13"/>
        <v>2.7700515503381398E-2</v>
      </c>
      <c r="K31" s="2"/>
      <c r="L31" s="6">
        <f t="shared" si="14"/>
        <v>1713.5521200000001</v>
      </c>
      <c r="M31" s="2"/>
      <c r="N31" s="7">
        <f t="shared" si="15"/>
        <v>3.9466591895469203</v>
      </c>
      <c r="O31" s="11"/>
      <c r="P31" s="6">
        <v>7728.84</v>
      </c>
      <c r="Q31" s="2"/>
      <c r="R31" s="7">
        <f t="shared" si="16"/>
        <v>0.21867523466553795</v>
      </c>
      <c r="S31" s="2"/>
      <c r="T31" s="6">
        <v>2387.9783400000001</v>
      </c>
      <c r="U31" s="2"/>
      <c r="V31" s="7">
        <f t="shared" si="17"/>
        <v>3.0936369218810728E-2</v>
      </c>
      <c r="W31" s="2"/>
      <c r="X31" s="6">
        <f t="shared" si="18"/>
        <v>5340.8616600000005</v>
      </c>
      <c r="Y31" s="2"/>
      <c r="Z31" s="7">
        <f t="shared" si="19"/>
        <v>2.2365620200725944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6">
        <v>1377.86</v>
      </c>
      <c r="E33" s="2"/>
      <c r="F33" s="7">
        <f t="shared" si="12"/>
        <v>0.15914813599885416</v>
      </c>
      <c r="G33" s="2"/>
      <c r="H33" s="6">
        <v>396.62900000000002</v>
      </c>
      <c r="I33" s="2"/>
      <c r="J33" s="7">
        <f t="shared" si="13"/>
        <v>2.5304899834120199E-2</v>
      </c>
      <c r="K33" s="2"/>
      <c r="L33" s="6">
        <f t="shared" si="14"/>
        <v>981.23099999999988</v>
      </c>
      <c r="M33" s="2"/>
      <c r="N33" s="7">
        <f t="shared" si="15"/>
        <v>2.4739265157111552</v>
      </c>
      <c r="O33" s="11"/>
      <c r="P33" s="6">
        <v>7438.36</v>
      </c>
      <c r="Q33" s="2"/>
      <c r="R33" s="7">
        <f t="shared" si="16"/>
        <v>0.21045656508955429</v>
      </c>
      <c r="S33" s="2"/>
      <c r="T33" s="6">
        <v>2274.1595000000002</v>
      </c>
      <c r="U33" s="2"/>
      <c r="V33" s="7">
        <f t="shared" si="17"/>
        <v>2.9461840912035242E-2</v>
      </c>
      <c r="W33" s="2"/>
      <c r="X33" s="6">
        <f t="shared" si="18"/>
        <v>5164.200499999999</v>
      </c>
      <c r="Y33" s="2"/>
      <c r="Z33" s="7">
        <f t="shared" si="19"/>
        <v>2.2708171964191601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6">
        <v>857.52</v>
      </c>
      <c r="E34" s="2"/>
      <c r="F34" s="7">
        <f t="shared" si="12"/>
        <v>9.9046862222386484E-2</v>
      </c>
      <c r="G34" s="2"/>
      <c r="H34" s="6">
        <v>501.61700000000002</v>
      </c>
      <c r="I34" s="2"/>
      <c r="J34" s="7">
        <f t="shared" si="13"/>
        <v>3.2003126196248566E-2</v>
      </c>
      <c r="K34" s="2"/>
      <c r="L34" s="6">
        <f t="shared" si="14"/>
        <v>355.90299999999996</v>
      </c>
      <c r="M34" s="2"/>
      <c r="N34" s="7">
        <f t="shared" si="15"/>
        <v>0.70951144000303012</v>
      </c>
      <c r="O34" s="11"/>
      <c r="P34" s="6">
        <v>4727.08</v>
      </c>
      <c r="Q34" s="2"/>
      <c r="R34" s="7">
        <f t="shared" si="16"/>
        <v>0.13374520992578073</v>
      </c>
      <c r="S34" s="2"/>
      <c r="T34" s="6">
        <v>2838.6455000000001</v>
      </c>
      <c r="U34" s="2"/>
      <c r="V34" s="7">
        <f t="shared" si="17"/>
        <v>3.6774783002979664E-2</v>
      </c>
      <c r="W34" s="2"/>
      <c r="X34" s="6">
        <f t="shared" si="18"/>
        <v>1888.4344999999998</v>
      </c>
      <c r="Y34" s="2"/>
      <c r="Z34" s="7">
        <f t="shared" si="19"/>
        <v>0.66525901173640734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6">
        <v>480.14</v>
      </c>
      <c r="E35" s="2"/>
      <c r="F35" s="7">
        <f t="shared" si="12"/>
        <v>5.5458018970352463E-2</v>
      </c>
      <c r="G35" s="2"/>
      <c r="H35" s="6"/>
      <c r="I35" s="2"/>
      <c r="J35" s="7">
        <f t="shared" si="13"/>
        <v>0</v>
      </c>
      <c r="K35" s="2"/>
      <c r="L35" s="6">
        <f t="shared" si="14"/>
        <v>480.14</v>
      </c>
      <c r="M35" s="2"/>
      <c r="N35" s="7">
        <f t="shared" si="15"/>
        <v>0</v>
      </c>
      <c r="O35" s="11"/>
      <c r="P35" s="6">
        <v>2605.15</v>
      </c>
      <c r="Q35" s="2"/>
      <c r="R35" s="7">
        <f t="shared" si="16"/>
        <v>7.3708575619229569E-2</v>
      </c>
      <c r="S35" s="2"/>
      <c r="T35" s="6"/>
      <c r="U35" s="2"/>
      <c r="V35" s="7">
        <f t="shared" si="17"/>
        <v>0</v>
      </c>
      <c r="W35" s="2"/>
      <c r="X35" s="6">
        <f t="shared" si="18"/>
        <v>2605.15</v>
      </c>
      <c r="Y35" s="2"/>
      <c r="Z35" s="7">
        <f t="shared" si="19"/>
        <v>0</v>
      </c>
    </row>
    <row r="36" spans="1:26" s="29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15260.3</v>
      </c>
      <c r="E36" s="1"/>
      <c r="F36" s="5">
        <f t="shared" ref="F36:F46" si="20">IF(D$12=0,0,D36/D$12)</f>
        <v>1.7626234158646845</v>
      </c>
      <c r="G36" s="1"/>
      <c r="H36" s="1">
        <f>SUM(OSRRefH22_1x_0)</f>
        <v>10533.934000000001</v>
      </c>
      <c r="I36" s="1"/>
      <c r="J36" s="5">
        <f t="shared" ref="J36:J46" si="21">IF(H$12=0,0,H36/H$12)</f>
        <v>0.67206418272298085</v>
      </c>
      <c r="K36" s="1"/>
      <c r="L36" s="1">
        <f t="shared" ref="L36:L46" si="22">+D36-H36</f>
        <v>4726.3659999999982</v>
      </c>
      <c r="M36" s="1"/>
      <c r="N36" s="5">
        <f t="shared" ref="N36:N46" si="23">IF(H36=0,0,L36/H36)</f>
        <v>0.44868004678973666</v>
      </c>
      <c r="O36" s="14"/>
      <c r="P36" s="1">
        <f>SUM(OSRRefP22_1x_0)</f>
        <v>92474.010000000024</v>
      </c>
      <c r="Q36" s="1"/>
      <c r="R36" s="5">
        <f t="shared" ref="R36:R46" si="24">IF(P$12=0,0,P36/P$12)</f>
        <v>2.6164050280783804</v>
      </c>
      <c r="S36" s="1"/>
      <c r="T36" s="1">
        <f>SUM(OSRRefT22_1x_0)</f>
        <v>59186.584999999999</v>
      </c>
      <c r="U36" s="1"/>
      <c r="V36" s="5">
        <f t="shared" ref="V36:V46" si="25">IF(T$12=0,0,T36/T$12)</f>
        <v>0.76676493069050389</v>
      </c>
      <c r="W36" s="1"/>
      <c r="X36" s="1">
        <f t="shared" ref="X36:X46" si="26">+P36-T36</f>
        <v>33287.425000000025</v>
      </c>
      <c r="Y36" s="1"/>
      <c r="Z36" s="5">
        <f t="shared" ref="Z36:Z46" si="27">IF(T36=0,0,X36/T36)</f>
        <v>0.56241503036541174</v>
      </c>
    </row>
    <row r="37" spans="1:26" s="24" customFormat="1" hidden="1" outlineLevel="2" x14ac:dyDescent="0.25">
      <c r="A37" s="28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8"/>
      <c r="B38" s="11" t="str">
        <f>CONCATENATE("          ", "6002", " - ", "STAFF SALARIES")</f>
        <v xml:space="preserve">          6002 - STAFF SALARIES</v>
      </c>
      <c r="C38" s="11"/>
      <c r="D38" s="6">
        <v>12438.05</v>
      </c>
      <c r="E38" s="2"/>
      <c r="F38" s="7">
        <f t="shared" si="20"/>
        <v>1.4366426726667065</v>
      </c>
      <c r="G38" s="2"/>
      <c r="H38" s="6">
        <v>4543.7219999999998</v>
      </c>
      <c r="I38" s="2"/>
      <c r="J38" s="7">
        <f t="shared" si="21"/>
        <v>0.28988911573306109</v>
      </c>
      <c r="K38" s="2"/>
      <c r="L38" s="6">
        <f t="shared" si="22"/>
        <v>7894.3279999999995</v>
      </c>
      <c r="M38" s="2"/>
      <c r="N38" s="7">
        <f t="shared" si="23"/>
        <v>1.7374143928699863</v>
      </c>
      <c r="O38" s="11"/>
      <c r="P38" s="6">
        <v>72108.12000000001</v>
      </c>
      <c r="Q38" s="2"/>
      <c r="R38" s="7">
        <f t="shared" si="24"/>
        <v>2.0401845635685012</v>
      </c>
      <c r="S38" s="2"/>
      <c r="T38" s="6">
        <v>24990.471000000001</v>
      </c>
      <c r="U38" s="2"/>
      <c r="V38" s="7">
        <f t="shared" si="25"/>
        <v>0.32375270112708904</v>
      </c>
      <c r="W38" s="2"/>
      <c r="X38" s="6">
        <f t="shared" si="26"/>
        <v>47117.649000000005</v>
      </c>
      <c r="Y38" s="2"/>
      <c r="Z38" s="7">
        <f t="shared" si="27"/>
        <v>1.8854246084437545</v>
      </c>
    </row>
    <row r="39" spans="1:26" s="24" customFormat="1" hidden="1" outlineLevel="2" x14ac:dyDescent="0.25">
      <c r="A39" s="28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8"/>
      <c r="B40" s="11" t="str">
        <f>CONCATENATE("          ", "6004", " - ", "STAFF HOURLY")</f>
        <v xml:space="preserve">          6004 - STAFF HOURLY</v>
      </c>
      <c r="C40" s="11"/>
      <c r="D40" s="6">
        <v>2751.03</v>
      </c>
      <c r="E40" s="2"/>
      <c r="F40" s="7">
        <f t="shared" si="20"/>
        <v>0.31775455893699495</v>
      </c>
      <c r="G40" s="2"/>
      <c r="H40" s="6">
        <v>2595.6</v>
      </c>
      <c r="I40" s="2"/>
      <c r="J40" s="7">
        <f t="shared" si="21"/>
        <v>0.16559908128110246</v>
      </c>
      <c r="K40" s="2"/>
      <c r="L40" s="6">
        <f t="shared" si="22"/>
        <v>155.43000000000029</v>
      </c>
      <c r="M40" s="2"/>
      <c r="N40" s="7">
        <f t="shared" si="23"/>
        <v>5.9882108183079173E-2</v>
      </c>
      <c r="O40" s="11"/>
      <c r="P40" s="6">
        <v>18098.329999999998</v>
      </c>
      <c r="Q40" s="2"/>
      <c r="R40" s="7">
        <f t="shared" si="24"/>
        <v>0.51206346098565181</v>
      </c>
      <c r="S40" s="2"/>
      <c r="T40" s="6">
        <v>15944.4</v>
      </c>
      <c r="U40" s="2"/>
      <c r="V40" s="7">
        <f t="shared" si="25"/>
        <v>0.20656043528954526</v>
      </c>
      <c r="W40" s="2"/>
      <c r="X40" s="6">
        <f t="shared" si="26"/>
        <v>2153.9299999999985</v>
      </c>
      <c r="Y40" s="2"/>
      <c r="Z40" s="7">
        <f t="shared" si="27"/>
        <v>0.13509006296881654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6">
        <v>71.22</v>
      </c>
      <c r="E41" s="2"/>
      <c r="F41" s="7">
        <f t="shared" si="20"/>
        <v>8.2261842609832603E-3</v>
      </c>
      <c r="G41" s="2"/>
      <c r="H41" s="6">
        <v>1452.672</v>
      </c>
      <c r="I41" s="2"/>
      <c r="J41" s="7">
        <f t="shared" si="21"/>
        <v>9.268036238356514E-2</v>
      </c>
      <c r="K41" s="2"/>
      <c r="L41" s="6">
        <f t="shared" si="22"/>
        <v>-1381.452</v>
      </c>
      <c r="M41" s="2"/>
      <c r="N41" s="7">
        <f t="shared" si="23"/>
        <v>-0.95097310335712393</v>
      </c>
      <c r="O41" s="11"/>
      <c r="P41" s="6">
        <v>2197.85</v>
      </c>
      <c r="Q41" s="2"/>
      <c r="R41" s="7">
        <f t="shared" si="24"/>
        <v>6.2184669951720124E-2</v>
      </c>
      <c r="S41" s="2"/>
      <c r="T41" s="6">
        <v>8428.5239999999994</v>
      </c>
      <c r="U41" s="2"/>
      <c r="V41" s="7">
        <f t="shared" si="25"/>
        <v>0.10919191605130198</v>
      </c>
      <c r="W41" s="2"/>
      <c r="X41" s="6">
        <f t="shared" si="26"/>
        <v>-6230.6739999999991</v>
      </c>
      <c r="Y41" s="2"/>
      <c r="Z41" s="7">
        <f t="shared" si="27"/>
        <v>-0.73923666824701451</v>
      </c>
    </row>
    <row r="42" spans="1:26" s="24" customFormat="1" hidden="1" outlineLevel="2" x14ac:dyDescent="0.25">
      <c r="A42" s="28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69.709999999999994</v>
      </c>
      <c r="Q43" s="2"/>
      <c r="R43" s="7">
        <f t="shared" si="24"/>
        <v>1.9723335725069543E-3</v>
      </c>
      <c r="S43" s="2"/>
      <c r="T43" s="6">
        <v>2446.34</v>
      </c>
      <c r="U43" s="2"/>
      <c r="V43" s="7">
        <f t="shared" si="25"/>
        <v>3.1692447208187591E-2</v>
      </c>
      <c r="W43" s="2"/>
      <c r="X43" s="6">
        <f t="shared" si="26"/>
        <v>-2376.63</v>
      </c>
      <c r="Y43" s="2"/>
      <c r="Z43" s="7">
        <f t="shared" si="27"/>
        <v>-0.97150436979324217</v>
      </c>
    </row>
    <row r="44" spans="1:26" s="24" customFormat="1" hidden="1" outlineLevel="2" x14ac:dyDescent="0.25">
      <c r="A44" s="28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1941.94</v>
      </c>
      <c r="I44" s="2"/>
      <c r="J44" s="7">
        <f t="shared" si="21"/>
        <v>0.12389562332525202</v>
      </c>
      <c r="K44" s="2"/>
      <c r="L44" s="6">
        <f t="shared" si="22"/>
        <v>-1941.94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7376.85</v>
      </c>
      <c r="U44" s="2"/>
      <c r="V44" s="7">
        <f t="shared" si="25"/>
        <v>9.5567431014380103E-2</v>
      </c>
      <c r="W44" s="2"/>
      <c r="X44" s="6">
        <f t="shared" si="26"/>
        <v>-7376.85</v>
      </c>
      <c r="Y44" s="2"/>
      <c r="Z44" s="7">
        <f t="shared" si="27"/>
        <v>-1</v>
      </c>
    </row>
    <row r="45" spans="1:26" s="24" customFormat="1" hidden="1" outlineLevel="2" x14ac:dyDescent="0.25">
      <c r="A45" s="28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8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15.9</v>
      </c>
      <c r="E47" s="1"/>
      <c r="F47" s="5">
        <f t="shared" ref="F47:F55" si="28">IF(D$12=0,0,D47/D$12)</f>
        <v>1.8365112292843841E-3</v>
      </c>
      <c r="G47" s="1"/>
      <c r="H47" s="1">
        <f>SUM(OSRRefH22_2x_0)</f>
        <v>653</v>
      </c>
      <c r="I47" s="1"/>
      <c r="J47" s="5">
        <f t="shared" ref="J47:J55" si="29">IF(H$12=0,0,H47/H$12)</f>
        <v>4.1661350006379994E-2</v>
      </c>
      <c r="K47" s="1"/>
      <c r="L47" s="1">
        <f t="shared" ref="L47:L55" si="30">+D47-H47</f>
        <v>-637.1</v>
      </c>
      <c r="M47" s="1"/>
      <c r="N47" s="5">
        <f t="shared" ref="N47:N55" si="31">IF(H47=0,0,L47/H47)</f>
        <v>-0.97565084226646248</v>
      </c>
      <c r="O47" s="14"/>
      <c r="P47" s="1">
        <f>SUM(OSRRefP22_2x_0)</f>
        <v>126.53</v>
      </c>
      <c r="Q47" s="1"/>
      <c r="R47" s="5">
        <f t="shared" ref="R47:R55" si="32">IF(P$12=0,0,P47/P$12)</f>
        <v>3.5799650972501073E-3</v>
      </c>
      <c r="S47" s="1"/>
      <c r="T47" s="1">
        <f>SUM(OSRRefT22_2x_0)</f>
        <v>3141</v>
      </c>
      <c r="U47" s="1"/>
      <c r="V47" s="5">
        <f t="shared" ref="V47:V55" si="33">IF(T$12=0,0,T47/T$12)</f>
        <v>4.0691799455888071E-2</v>
      </c>
      <c r="W47" s="1"/>
      <c r="X47" s="1">
        <f t="shared" ref="X47:X55" si="34">+P47-T47</f>
        <v>-3014.47</v>
      </c>
      <c r="Y47" s="1"/>
      <c r="Z47" s="5">
        <f t="shared" ref="Z47:Z55" si="35">IF(T47=0,0,X47/T47)</f>
        <v>-0.95971665074816936</v>
      </c>
    </row>
    <row r="48" spans="1:26" s="24" customFormat="1" hidden="1" outlineLevel="2" x14ac:dyDescent="0.25">
      <c r="A48" s="28"/>
      <c r="B48" s="11" t="str">
        <f>CONCATENATE("          ", "6362", " - ", "ADVERTISING EXPENSE")</f>
        <v xml:space="preserve">          6362 - ADVERTISING EXPENSE</v>
      </c>
      <c r="C48" s="11"/>
      <c r="D48" s="6">
        <v>15.9</v>
      </c>
      <c r="E48" s="2"/>
      <c r="F48" s="7">
        <f t="shared" si="28"/>
        <v>1.8365112292843841E-3</v>
      </c>
      <c r="G48" s="2"/>
      <c r="H48" s="6">
        <v>653</v>
      </c>
      <c r="I48" s="2"/>
      <c r="J48" s="7">
        <f t="shared" si="29"/>
        <v>4.1661350006379994E-2</v>
      </c>
      <c r="K48" s="2"/>
      <c r="L48" s="6">
        <f t="shared" si="30"/>
        <v>-637.1</v>
      </c>
      <c r="M48" s="2"/>
      <c r="N48" s="7">
        <f t="shared" si="31"/>
        <v>-0.97565084226646248</v>
      </c>
      <c r="O48" s="11"/>
      <c r="P48" s="6">
        <v>126.53</v>
      </c>
      <c r="Q48" s="2"/>
      <c r="R48" s="7">
        <f t="shared" si="32"/>
        <v>3.5799650972501073E-3</v>
      </c>
      <c r="S48" s="2"/>
      <c r="T48" s="6">
        <v>3141</v>
      </c>
      <c r="U48" s="2"/>
      <c r="V48" s="7">
        <f t="shared" si="33"/>
        <v>4.0691799455888071E-2</v>
      </c>
      <c r="W48" s="2"/>
      <c r="X48" s="6">
        <f t="shared" si="34"/>
        <v>-3014.47</v>
      </c>
      <c r="Y48" s="2"/>
      <c r="Z48" s="7">
        <f t="shared" si="35"/>
        <v>-0.95971665074816936</v>
      </c>
    </row>
    <row r="49" spans="1:26" s="29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-1331.23</v>
      </c>
      <c r="E49" s="1"/>
      <c r="F49" s="5">
        <f t="shared" si="28"/>
        <v>-0.1537621914314623</v>
      </c>
      <c r="G49" s="1"/>
      <c r="H49" s="1">
        <f>SUM(OSRRefH22_3x_0)</f>
        <v>10</v>
      </c>
      <c r="I49" s="1"/>
      <c r="J49" s="5">
        <f t="shared" si="29"/>
        <v>6.3799923440091869E-4</v>
      </c>
      <c r="K49" s="1"/>
      <c r="L49" s="1">
        <f t="shared" si="30"/>
        <v>-1341.23</v>
      </c>
      <c r="M49" s="1"/>
      <c r="N49" s="5">
        <f t="shared" si="31"/>
        <v>-134.12299999999999</v>
      </c>
      <c r="O49" s="14"/>
      <c r="P49" s="1">
        <f>SUM(OSRRefP22_3x_0)</f>
        <v>7.05</v>
      </c>
      <c r="Q49" s="1"/>
      <c r="R49" s="5">
        <f t="shared" si="32"/>
        <v>1.9946853659695926E-4</v>
      </c>
      <c r="S49" s="1"/>
      <c r="T49" s="1">
        <f>SUM(OSRRefT22_3x_0)</f>
        <v>55</v>
      </c>
      <c r="U49" s="1"/>
      <c r="V49" s="5">
        <f t="shared" si="33"/>
        <v>7.1252752947272967E-4</v>
      </c>
      <c r="W49" s="1"/>
      <c r="X49" s="1">
        <f t="shared" si="34"/>
        <v>-47.95</v>
      </c>
      <c r="Y49" s="1"/>
      <c r="Z49" s="5">
        <f t="shared" si="35"/>
        <v>-0.87181818181818183</v>
      </c>
    </row>
    <row r="50" spans="1:26" s="24" customFormat="1" hidden="1" outlineLevel="2" x14ac:dyDescent="0.25">
      <c r="A50" s="28"/>
      <c r="B50" s="11" t="str">
        <f>CONCATENATE("          ", "6272", " - ", "CASH (OVER/SHORT)")</f>
        <v xml:space="preserve">          6272 - CASH (OVER/SHORT)</v>
      </c>
      <c r="C50" s="11"/>
      <c r="D50" s="6">
        <v>-1331.23</v>
      </c>
      <c r="E50" s="2"/>
      <c r="F50" s="7">
        <f t="shared" si="28"/>
        <v>-0.1537621914314623</v>
      </c>
      <c r="G50" s="2"/>
      <c r="H50" s="6">
        <v>10</v>
      </c>
      <c r="I50" s="2"/>
      <c r="J50" s="7">
        <f t="shared" si="29"/>
        <v>6.3799923440091869E-4</v>
      </c>
      <c r="K50" s="2"/>
      <c r="L50" s="6">
        <f t="shared" si="30"/>
        <v>-1341.23</v>
      </c>
      <c r="M50" s="2"/>
      <c r="N50" s="7">
        <f t="shared" si="31"/>
        <v>-134.12299999999999</v>
      </c>
      <c r="O50" s="11"/>
      <c r="P50" s="6">
        <v>7.05</v>
      </c>
      <c r="Q50" s="2"/>
      <c r="R50" s="7">
        <f t="shared" si="32"/>
        <v>1.9946853659695926E-4</v>
      </c>
      <c r="S50" s="2"/>
      <c r="T50" s="6">
        <v>55</v>
      </c>
      <c r="U50" s="2"/>
      <c r="V50" s="7">
        <f t="shared" si="33"/>
        <v>7.1252752947272967E-4</v>
      </c>
      <c r="W50" s="2"/>
      <c r="X50" s="6">
        <f t="shared" si="34"/>
        <v>-47.95</v>
      </c>
      <c r="Y50" s="2"/>
      <c r="Z50" s="7">
        <f t="shared" si="35"/>
        <v>-0.87181818181818183</v>
      </c>
    </row>
    <row r="51" spans="1:26" s="29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348.1</v>
      </c>
      <c r="E51" s="1"/>
      <c r="F51" s="5">
        <f t="shared" si="28"/>
        <v>4.0206890497729193E-2</v>
      </c>
      <c r="G51" s="1"/>
      <c r="H51" s="1">
        <f>SUM(OSRRefH22_4x_0)</f>
        <v>2871</v>
      </c>
      <c r="I51" s="1"/>
      <c r="J51" s="5">
        <f t="shared" si="29"/>
        <v>0.18316958019650376</v>
      </c>
      <c r="K51" s="1"/>
      <c r="L51" s="1">
        <f t="shared" si="30"/>
        <v>-2522.9</v>
      </c>
      <c r="M51" s="1"/>
      <c r="N51" s="5">
        <f t="shared" si="31"/>
        <v>-0.87875304771856499</v>
      </c>
      <c r="O51" s="14"/>
      <c r="P51" s="1">
        <f>SUM(OSRRefP22_4x_0)</f>
        <v>789.25</v>
      </c>
      <c r="Q51" s="1"/>
      <c r="R51" s="5">
        <f t="shared" si="32"/>
        <v>2.2330573405553205E-2</v>
      </c>
      <c r="S51" s="1"/>
      <c r="T51" s="1">
        <f>SUM(OSRRefT22_4x_0)</f>
        <v>14851</v>
      </c>
      <c r="U51" s="1"/>
      <c r="V51" s="5">
        <f t="shared" si="33"/>
        <v>0.1923953880036274</v>
      </c>
      <c r="W51" s="1"/>
      <c r="X51" s="1">
        <f t="shared" si="34"/>
        <v>-14061.75</v>
      </c>
      <c r="Y51" s="1"/>
      <c r="Z51" s="5">
        <f t="shared" si="35"/>
        <v>-0.9468554306107333</v>
      </c>
    </row>
    <row r="52" spans="1:26" s="24" customFormat="1" hidden="1" outlineLevel="2" x14ac:dyDescent="0.25">
      <c r="A52" s="28"/>
      <c r="B52" s="11" t="str">
        <f>CONCATENATE("          ", "6381", " - ", "BANK/CREDIT CARD FEES")</f>
        <v xml:space="preserve">          6381 - BANK/CREDIT CARD FEES</v>
      </c>
      <c r="C52" s="11"/>
      <c r="D52" s="6">
        <v>348.1</v>
      </c>
      <c r="E52" s="2"/>
      <c r="F52" s="7">
        <f t="shared" si="28"/>
        <v>4.0206890497729193E-2</v>
      </c>
      <c r="G52" s="2"/>
      <c r="H52" s="6">
        <v>2871</v>
      </c>
      <c r="I52" s="2"/>
      <c r="J52" s="7">
        <f t="shared" si="29"/>
        <v>0.18316958019650376</v>
      </c>
      <c r="K52" s="2"/>
      <c r="L52" s="6">
        <f t="shared" si="30"/>
        <v>-2522.9</v>
      </c>
      <c r="M52" s="2"/>
      <c r="N52" s="7">
        <f t="shared" si="31"/>
        <v>-0.87875304771856499</v>
      </c>
      <c r="O52" s="11"/>
      <c r="P52" s="6">
        <v>789.25</v>
      </c>
      <c r="Q52" s="2"/>
      <c r="R52" s="7">
        <f t="shared" si="32"/>
        <v>2.2330573405553205E-2</v>
      </c>
      <c r="S52" s="2"/>
      <c r="T52" s="6">
        <v>14851</v>
      </c>
      <c r="U52" s="2"/>
      <c r="V52" s="7">
        <f t="shared" si="33"/>
        <v>0.1923953880036274</v>
      </c>
      <c r="W52" s="2"/>
      <c r="X52" s="6">
        <f t="shared" si="34"/>
        <v>-14061.75</v>
      </c>
      <c r="Y52" s="2"/>
      <c r="Z52" s="7">
        <f t="shared" si="35"/>
        <v>-0.9468554306107333</v>
      </c>
    </row>
    <row r="53" spans="1:26" s="29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13902.32</v>
      </c>
      <c r="E53" s="1"/>
      <c r="F53" s="5">
        <f t="shared" si="28"/>
        <v>1.6057714964216905</v>
      </c>
      <c r="G53" s="1"/>
      <c r="H53" s="1">
        <f>SUM(OSRRefH22_5x_0)</f>
        <v>13630</v>
      </c>
      <c r="I53" s="1"/>
      <c r="J53" s="5">
        <f t="shared" si="29"/>
        <v>0.86959295648845225</v>
      </c>
      <c r="K53" s="1"/>
      <c r="L53" s="1">
        <f t="shared" si="30"/>
        <v>272.31999999999971</v>
      </c>
      <c r="M53" s="1"/>
      <c r="N53" s="5">
        <f t="shared" si="31"/>
        <v>1.997945707997063E-2</v>
      </c>
      <c r="O53" s="14"/>
      <c r="P53" s="1">
        <f>SUM(OSRRefP22_5x_0)</f>
        <v>69476.88</v>
      </c>
      <c r="Q53" s="1"/>
      <c r="R53" s="5">
        <f t="shared" si="32"/>
        <v>1.9657378128968153</v>
      </c>
      <c r="S53" s="1"/>
      <c r="T53" s="1">
        <f>SUM(OSRRefT22_5x_0)</f>
        <v>68378</v>
      </c>
      <c r="U53" s="1"/>
      <c r="V53" s="5">
        <f t="shared" si="33"/>
        <v>0.88584013473247825</v>
      </c>
      <c r="W53" s="1"/>
      <c r="X53" s="1">
        <f t="shared" si="34"/>
        <v>1098.8800000000047</v>
      </c>
      <c r="Y53" s="1"/>
      <c r="Z53" s="5">
        <f t="shared" si="35"/>
        <v>1.6070666003685462E-2</v>
      </c>
    </row>
    <row r="54" spans="1:26" s="24" customFormat="1" hidden="1" outlineLevel="2" x14ac:dyDescent="0.25">
      <c r="A54" s="28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1.2240243389714611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52986.3</v>
      </c>
      <c r="Q54" s="2"/>
      <c r="R54" s="7">
        <f t="shared" si="32"/>
        <v>1.4991630809485763</v>
      </c>
      <c r="S54" s="2"/>
      <c r="T54" s="6"/>
      <c r="U54" s="2"/>
      <c r="V54" s="7">
        <f t="shared" si="33"/>
        <v>0</v>
      </c>
      <c r="W54" s="2"/>
      <c r="X54" s="6">
        <f t="shared" si="34"/>
        <v>52986.3</v>
      </c>
      <c r="Y54" s="2"/>
      <c r="Z54" s="7">
        <f t="shared" si="35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3305.06</v>
      </c>
      <c r="E55" s="2"/>
      <c r="F55" s="7">
        <f t="shared" si="28"/>
        <v>0.38174715745022936</v>
      </c>
      <c r="G55" s="2"/>
      <c r="H55" s="6">
        <v>13630</v>
      </c>
      <c r="I55" s="2"/>
      <c r="J55" s="7">
        <f t="shared" si="29"/>
        <v>0.86959295648845225</v>
      </c>
      <c r="K55" s="2"/>
      <c r="L55" s="6">
        <f t="shared" si="30"/>
        <v>-10324.94</v>
      </c>
      <c r="M55" s="2"/>
      <c r="N55" s="7">
        <f t="shared" si="31"/>
        <v>-0.75751577402787973</v>
      </c>
      <c r="O55" s="11"/>
      <c r="P55" s="6">
        <v>16490.580000000002</v>
      </c>
      <c r="Q55" s="2"/>
      <c r="R55" s="7">
        <f t="shared" si="32"/>
        <v>0.46657473194823895</v>
      </c>
      <c r="S55" s="2"/>
      <c r="T55" s="6">
        <v>68378</v>
      </c>
      <c r="U55" s="2"/>
      <c r="V55" s="7">
        <f t="shared" si="33"/>
        <v>0.88584013473247825</v>
      </c>
      <c r="W55" s="2"/>
      <c r="X55" s="6">
        <f t="shared" si="34"/>
        <v>-51887.42</v>
      </c>
      <c r="Y55" s="2"/>
      <c r="Z55" s="7">
        <f t="shared" si="35"/>
        <v>-0.75883208049372608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208.02</v>
      </c>
      <c r="E56" s="1"/>
      <c r="F56" s="5">
        <f t="shared" ref="F56:F66" si="36">IF(D$12=0,0,D56/D$12)</f>
        <v>2.4027111063882868E-2</v>
      </c>
      <c r="G56" s="1"/>
      <c r="H56" s="1">
        <f>SUM(OSRRefH22_6x_0)</f>
        <v>101</v>
      </c>
      <c r="I56" s="1"/>
      <c r="J56" s="5">
        <f t="shared" ref="J56:J66" si="37">IF(H$12=0,0,H56/H$12)</f>
        <v>6.4437922674492791E-3</v>
      </c>
      <c r="K56" s="1"/>
      <c r="L56" s="1">
        <f t="shared" ref="L56:L66" si="38">+D56-H56</f>
        <v>107.02000000000001</v>
      </c>
      <c r="M56" s="1"/>
      <c r="N56" s="5">
        <f t="shared" ref="N56:N66" si="39">IF(H56=0,0,L56/H56)</f>
        <v>1.0596039603960397</v>
      </c>
      <c r="O56" s="14"/>
      <c r="P56" s="1">
        <f>SUM(OSRRefP22_6x_0)</f>
        <v>793.4</v>
      </c>
      <c r="Q56" s="1"/>
      <c r="R56" s="5">
        <f t="shared" ref="R56:R66" si="40">IF(P$12=0,0,P56/P$12)</f>
        <v>2.2447991054755669E-2</v>
      </c>
      <c r="S56" s="1"/>
      <c r="T56" s="1">
        <f>SUM(OSRRefT22_6x_0)</f>
        <v>574</v>
      </c>
      <c r="U56" s="1"/>
      <c r="V56" s="5">
        <f t="shared" ref="V56:V66" si="41">IF(T$12=0,0,T56/T$12)</f>
        <v>7.4361963984972143E-3</v>
      </c>
      <c r="W56" s="1"/>
      <c r="X56" s="1">
        <f t="shared" ref="X56:X66" si="42">+P56-T56</f>
        <v>219.39999999999998</v>
      </c>
      <c r="Y56" s="1"/>
      <c r="Z56" s="5">
        <f t="shared" ref="Z56:Z66" si="43">IF(T56=0,0,X56/T56)</f>
        <v>0.38222996515679436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>
        <v>208.02</v>
      </c>
      <c r="E57" s="2"/>
      <c r="F57" s="7">
        <f t="shared" si="36"/>
        <v>2.4027111063882868E-2</v>
      </c>
      <c r="G57" s="2"/>
      <c r="H57" s="6">
        <v>101</v>
      </c>
      <c r="I57" s="2"/>
      <c r="J57" s="7">
        <f t="shared" si="37"/>
        <v>6.4437922674492791E-3</v>
      </c>
      <c r="K57" s="2"/>
      <c r="L57" s="6">
        <f t="shared" si="38"/>
        <v>107.02000000000001</v>
      </c>
      <c r="M57" s="2"/>
      <c r="N57" s="7">
        <f t="shared" si="39"/>
        <v>1.0596039603960397</v>
      </c>
      <c r="O57" s="11"/>
      <c r="P57" s="6">
        <v>793.4</v>
      </c>
      <c r="Q57" s="2"/>
      <c r="R57" s="7">
        <f t="shared" si="40"/>
        <v>2.2447991054755669E-2</v>
      </c>
      <c r="S57" s="2"/>
      <c r="T57" s="6">
        <v>574</v>
      </c>
      <c r="U57" s="2"/>
      <c r="V57" s="7">
        <f t="shared" si="41"/>
        <v>7.4361963984972143E-3</v>
      </c>
      <c r="W57" s="2"/>
      <c r="X57" s="6">
        <f t="shared" si="42"/>
        <v>219.39999999999998</v>
      </c>
      <c r="Y57" s="2"/>
      <c r="Z57" s="7">
        <f t="shared" si="43"/>
        <v>0.38222996515679436</v>
      </c>
    </row>
    <row r="58" spans="1:26" s="29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1955.07</v>
      </c>
      <c r="Q58" s="1"/>
      <c r="R58" s="5">
        <f t="shared" si="40"/>
        <v>5.5315596006328668E-2</v>
      </c>
      <c r="S58" s="1"/>
      <c r="T58" s="1">
        <f>SUM(OSRRefT22_7x_0)</f>
        <v>1355</v>
      </c>
      <c r="U58" s="1"/>
      <c r="V58" s="5">
        <f t="shared" si="41"/>
        <v>1.7554087317009977E-2</v>
      </c>
      <c r="W58" s="1"/>
      <c r="X58" s="1">
        <f t="shared" si="42"/>
        <v>600.06999999999994</v>
      </c>
      <c r="Y58" s="1"/>
      <c r="Z58" s="5">
        <f t="shared" si="43"/>
        <v>0.44285608856088554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>
        <v>0</v>
      </c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1955.07</v>
      </c>
      <c r="Q59" s="2"/>
      <c r="R59" s="7">
        <f t="shared" si="40"/>
        <v>5.5315596006328668E-2</v>
      </c>
      <c r="S59" s="2"/>
      <c r="T59" s="6">
        <v>1355</v>
      </c>
      <c r="U59" s="2"/>
      <c r="V59" s="7">
        <f t="shared" si="41"/>
        <v>1.7554087317009977E-2</v>
      </c>
      <c r="W59" s="2"/>
      <c r="X59" s="6">
        <f t="shared" si="42"/>
        <v>600.06999999999994</v>
      </c>
      <c r="Y59" s="2"/>
      <c r="Z59" s="7">
        <f t="shared" si="43"/>
        <v>0.44285608856088554</v>
      </c>
    </row>
    <row r="60" spans="1:26" s="29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641.28</v>
      </c>
      <c r="E60" s="1"/>
      <c r="F60" s="5">
        <f t="shared" si="36"/>
        <v>7.4070309504118859E-2</v>
      </c>
      <c r="G60" s="1"/>
      <c r="H60" s="1">
        <f>SUM(OSRRefH22_8x_0)</f>
        <v>705</v>
      </c>
      <c r="I60" s="1"/>
      <c r="J60" s="5">
        <f t="shared" si="37"/>
        <v>4.4978946025264768E-2</v>
      </c>
      <c r="K60" s="1"/>
      <c r="L60" s="1">
        <f t="shared" si="38"/>
        <v>-63.720000000000027</v>
      </c>
      <c r="M60" s="1"/>
      <c r="N60" s="5">
        <f t="shared" si="39"/>
        <v>-9.0382978723404298E-2</v>
      </c>
      <c r="O60" s="14"/>
      <c r="P60" s="1">
        <f>SUM(OSRRefP22_8x_0)</f>
        <v>3206.4</v>
      </c>
      <c r="Q60" s="1"/>
      <c r="R60" s="5">
        <f t="shared" si="40"/>
        <v>9.0719988048863859E-2</v>
      </c>
      <c r="S60" s="1"/>
      <c r="T60" s="1">
        <f>SUM(OSRRefT22_8x_0)</f>
        <v>3525</v>
      </c>
      <c r="U60" s="1"/>
      <c r="V60" s="5">
        <f t="shared" si="41"/>
        <v>4.566653711620676E-2</v>
      </c>
      <c r="W60" s="1"/>
      <c r="X60" s="1">
        <f t="shared" si="42"/>
        <v>-318.59999999999991</v>
      </c>
      <c r="Y60" s="1"/>
      <c r="Z60" s="5">
        <f t="shared" si="43"/>
        <v>-9.0382978723404228E-2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6">
        <v>641.28</v>
      </c>
      <c r="E61" s="2"/>
      <c r="F61" s="7">
        <f t="shared" si="36"/>
        <v>7.4070309504118859E-2</v>
      </c>
      <c r="G61" s="2"/>
      <c r="H61" s="6">
        <v>705</v>
      </c>
      <c r="I61" s="2"/>
      <c r="J61" s="7">
        <f t="shared" si="37"/>
        <v>4.4978946025264768E-2</v>
      </c>
      <c r="K61" s="2"/>
      <c r="L61" s="6">
        <f t="shared" si="38"/>
        <v>-63.720000000000027</v>
      </c>
      <c r="M61" s="2"/>
      <c r="N61" s="7">
        <f t="shared" si="39"/>
        <v>-9.0382978723404298E-2</v>
      </c>
      <c r="O61" s="11"/>
      <c r="P61" s="6">
        <v>3206.4</v>
      </c>
      <c r="Q61" s="2"/>
      <c r="R61" s="7">
        <f t="shared" si="40"/>
        <v>9.0719988048863859E-2</v>
      </c>
      <c r="S61" s="2"/>
      <c r="T61" s="6">
        <v>3525</v>
      </c>
      <c r="U61" s="2"/>
      <c r="V61" s="7">
        <f t="shared" si="41"/>
        <v>4.566653711620676E-2</v>
      </c>
      <c r="W61" s="2"/>
      <c r="X61" s="6">
        <f t="shared" si="42"/>
        <v>-318.59999999999991</v>
      </c>
      <c r="Y61" s="2"/>
      <c r="Z61" s="7">
        <f t="shared" si="43"/>
        <v>-9.0382978723404228E-2</v>
      </c>
    </row>
    <row r="62" spans="1:26" s="29" customFormat="1" outlineLevel="1" collapsed="1" x14ac:dyDescent="0.25">
      <c r="A62" s="27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7510</v>
      </c>
      <c r="E62" s="1"/>
      <c r="F62" s="5">
        <f t="shared" si="36"/>
        <v>0.86743392024690091</v>
      </c>
      <c r="G62" s="1"/>
      <c r="H62" s="1">
        <f>SUM(OSRRefH22_9x_0)</f>
        <v>7510</v>
      </c>
      <c r="I62" s="1"/>
      <c r="J62" s="5">
        <f t="shared" si="37"/>
        <v>0.47913742503508994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37063.15</v>
      </c>
      <c r="Q62" s="1"/>
      <c r="R62" s="5">
        <f t="shared" si="40"/>
        <v>1.0486428783224953</v>
      </c>
      <c r="S62" s="1"/>
      <c r="T62" s="1">
        <f>SUM(OSRRefT22_9x_0)</f>
        <v>37550</v>
      </c>
      <c r="U62" s="1"/>
      <c r="V62" s="5">
        <f t="shared" si="41"/>
        <v>0.48646197694001814</v>
      </c>
      <c r="W62" s="1"/>
      <c r="X62" s="1">
        <f t="shared" si="42"/>
        <v>-486.84999999999854</v>
      </c>
      <c r="Y62" s="1"/>
      <c r="Z62" s="5">
        <f t="shared" si="43"/>
        <v>-1.296537949400795E-2</v>
      </c>
    </row>
    <row r="63" spans="1:26" s="24" customFormat="1" hidden="1" outlineLevel="2" x14ac:dyDescent="0.25">
      <c r="A63" s="28"/>
      <c r="B63" s="11" t="str">
        <f>CONCATENATE("          ", "6401", " - ", "INTEREST EXPENSE")</f>
        <v xml:space="preserve">          6401 - INTEREST EXPENSE</v>
      </c>
      <c r="C63" s="11"/>
      <c r="D63" s="6">
        <v>7510</v>
      </c>
      <c r="E63" s="2"/>
      <c r="F63" s="7">
        <f t="shared" si="36"/>
        <v>0.86743392024690091</v>
      </c>
      <c r="G63" s="2"/>
      <c r="H63" s="6">
        <v>7510</v>
      </c>
      <c r="I63" s="2"/>
      <c r="J63" s="7">
        <f t="shared" si="37"/>
        <v>0.47913742503508994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37063.15</v>
      </c>
      <c r="Q63" s="2"/>
      <c r="R63" s="7">
        <f t="shared" si="40"/>
        <v>1.0486428783224953</v>
      </c>
      <c r="S63" s="2"/>
      <c r="T63" s="6">
        <v>37550</v>
      </c>
      <c r="U63" s="2"/>
      <c r="V63" s="7">
        <f t="shared" si="41"/>
        <v>0.48646197694001814</v>
      </c>
      <c r="W63" s="2"/>
      <c r="X63" s="6">
        <f t="shared" si="42"/>
        <v>-486.84999999999854</v>
      </c>
      <c r="Y63" s="2"/>
      <c r="Z63" s="7">
        <f t="shared" si="43"/>
        <v>-1.296537949400795E-2</v>
      </c>
    </row>
    <row r="64" spans="1:26" s="29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345.76</v>
      </c>
      <c r="E64" s="1"/>
      <c r="F64" s="5">
        <f t="shared" si="36"/>
        <v>3.9936611486626958E-2</v>
      </c>
      <c r="G64" s="1"/>
      <c r="H64" s="1">
        <f>SUM(OSRRefH22_10x_0)</f>
        <v>3955</v>
      </c>
      <c r="I64" s="1"/>
      <c r="J64" s="5">
        <f t="shared" si="37"/>
        <v>0.25232869720556333</v>
      </c>
      <c r="K64" s="1"/>
      <c r="L64" s="1">
        <f t="shared" si="38"/>
        <v>-3609.24</v>
      </c>
      <c r="M64" s="1"/>
      <c r="N64" s="5">
        <f t="shared" si="39"/>
        <v>-0.91257648546144121</v>
      </c>
      <c r="O64" s="14"/>
      <c r="P64" s="1">
        <f>SUM(OSRRefP22_10x_0)</f>
        <v>12184.07</v>
      </c>
      <c r="Q64" s="1"/>
      <c r="R64" s="5">
        <f t="shared" si="40"/>
        <v>0.34472888123332102</v>
      </c>
      <c r="S64" s="1"/>
      <c r="T64" s="1">
        <f>SUM(OSRRefT22_10x_0)</f>
        <v>13117</v>
      </c>
      <c r="U64" s="1"/>
      <c r="V64" s="5">
        <f t="shared" si="41"/>
        <v>0.16993133825625081</v>
      </c>
      <c r="W64" s="1"/>
      <c r="X64" s="1">
        <f t="shared" si="42"/>
        <v>-932.93000000000029</v>
      </c>
      <c r="Y64" s="1"/>
      <c r="Z64" s="5">
        <f t="shared" si="43"/>
        <v>-7.1123732560798986E-2</v>
      </c>
    </row>
    <row r="65" spans="1:26" s="24" customFormat="1" hidden="1" outlineLevel="2" x14ac:dyDescent="0.25">
      <c r="A65" s="28"/>
      <c r="B65" s="11" t="str">
        <f>CONCATENATE("          ", "6373", " - ", "MAINTENANCE CONTRACTS")</f>
        <v xml:space="preserve">          6373 - MAINTENANCE CONTRACTS</v>
      </c>
      <c r="C65" s="11"/>
      <c r="D65" s="6"/>
      <c r="E65" s="2"/>
      <c r="F65" s="7">
        <f t="shared" si="36"/>
        <v>0</v>
      </c>
      <c r="G65" s="2"/>
      <c r="H65" s="6">
        <v>1805</v>
      </c>
      <c r="I65" s="2"/>
      <c r="J65" s="7">
        <f t="shared" si="37"/>
        <v>0.11515886180936583</v>
      </c>
      <c r="K65" s="2"/>
      <c r="L65" s="6">
        <f t="shared" si="38"/>
        <v>-1805</v>
      </c>
      <c r="M65" s="2"/>
      <c r="N65" s="7">
        <f t="shared" si="39"/>
        <v>-1</v>
      </c>
      <c r="O65" s="11"/>
      <c r="P65" s="6">
        <v>6487.82</v>
      </c>
      <c r="Q65" s="2"/>
      <c r="R65" s="7">
        <f t="shared" si="40"/>
        <v>0.18356254767439492</v>
      </c>
      <c r="S65" s="2"/>
      <c r="T65" s="6">
        <v>1908</v>
      </c>
      <c r="U65" s="2"/>
      <c r="V65" s="7">
        <f t="shared" si="41"/>
        <v>2.4718227749708513E-2</v>
      </c>
      <c r="W65" s="2"/>
      <c r="X65" s="6">
        <f t="shared" si="42"/>
        <v>4579.82</v>
      </c>
      <c r="Y65" s="2"/>
      <c r="Z65" s="7">
        <f t="shared" si="43"/>
        <v>2.4003249475890982</v>
      </c>
    </row>
    <row r="66" spans="1:26" s="24" customFormat="1" hidden="1" outlineLevel="2" x14ac:dyDescent="0.25">
      <c r="A66" s="28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345.76</v>
      </c>
      <c r="E66" s="2"/>
      <c r="F66" s="7">
        <f t="shared" si="36"/>
        <v>3.9936611486626958E-2</v>
      </c>
      <c r="G66" s="2"/>
      <c r="H66" s="6">
        <v>2150</v>
      </c>
      <c r="I66" s="2"/>
      <c r="J66" s="7">
        <f t="shared" si="37"/>
        <v>0.13716983539619754</v>
      </c>
      <c r="K66" s="2"/>
      <c r="L66" s="6">
        <f t="shared" si="38"/>
        <v>-1804.24</v>
      </c>
      <c r="M66" s="2"/>
      <c r="N66" s="7">
        <f t="shared" si="39"/>
        <v>-0.83918139534883718</v>
      </c>
      <c r="O66" s="11"/>
      <c r="P66" s="6">
        <v>5696.25</v>
      </c>
      <c r="Q66" s="2"/>
      <c r="R66" s="7">
        <f t="shared" si="40"/>
        <v>0.16116633355892612</v>
      </c>
      <c r="S66" s="2"/>
      <c r="T66" s="6">
        <v>11209</v>
      </c>
      <c r="U66" s="2"/>
      <c r="V66" s="7">
        <f t="shared" si="41"/>
        <v>0.14521311050654229</v>
      </c>
      <c r="W66" s="2"/>
      <c r="X66" s="6">
        <f t="shared" si="42"/>
        <v>-5512.75</v>
      </c>
      <c r="Y66" s="2"/>
      <c r="Z66" s="7">
        <f t="shared" si="43"/>
        <v>-0.49181461325720405</v>
      </c>
    </row>
    <row r="67" spans="1:26" s="29" customFormat="1" outlineLevel="1" collapsed="1" x14ac:dyDescent="0.25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4179.4400000000005</v>
      </c>
      <c r="E67" s="1"/>
      <c r="F67" s="5">
        <f t="shared" ref="F67:F72" si="44">IF(D$12=0,0,D67/D$12)</f>
        <v>0.48274141459876274</v>
      </c>
      <c r="G67" s="1"/>
      <c r="H67" s="1">
        <f>SUM(OSRRefH22_11x_0)</f>
        <v>4055</v>
      </c>
      <c r="I67" s="1"/>
      <c r="J67" s="5">
        <f t="shared" ref="J67:J72" si="45">IF(H$12=0,0,H67/H$12)</f>
        <v>0.25870868954957255</v>
      </c>
      <c r="K67" s="1"/>
      <c r="L67" s="1">
        <f t="shared" ref="L67:L72" si="46">+D67-H67</f>
        <v>124.44000000000051</v>
      </c>
      <c r="M67" s="1"/>
      <c r="N67" s="5">
        <f t="shared" ref="N67:N72" si="47">IF(H67=0,0,L67/H67)</f>
        <v>3.0688039457460053E-2</v>
      </c>
      <c r="O67" s="14"/>
      <c r="P67" s="1">
        <f>SUM(OSRRefP22_11x_0)</f>
        <v>16184.03</v>
      </c>
      <c r="Q67" s="1"/>
      <c r="R67" s="5">
        <f t="shared" ref="R67:R72" si="48">IF(P$12=0,0,P67/P$12)</f>
        <v>0.457901387282452</v>
      </c>
      <c r="S67" s="1"/>
      <c r="T67" s="1">
        <f>SUM(OSRRefT22_11x_0)</f>
        <v>19890</v>
      </c>
      <c r="U67" s="1"/>
      <c r="V67" s="5">
        <f t="shared" ref="V67:V72" si="49">IF(T$12=0,0,T67/T$12)</f>
        <v>0.25767586474931986</v>
      </c>
      <c r="W67" s="1"/>
      <c r="X67" s="1">
        <f t="shared" ref="X67:X72" si="50">+P67-T67</f>
        <v>-3705.9699999999993</v>
      </c>
      <c r="Y67" s="1"/>
      <c r="Z67" s="5">
        <f t="shared" ref="Z67:Z72" si="51">IF(T67=0,0,X67/T67)</f>
        <v>-0.18632327802916035</v>
      </c>
    </row>
    <row r="68" spans="1:26" s="24" customFormat="1" hidden="1" outlineLevel="2" x14ac:dyDescent="0.25">
      <c r="A68" s="28"/>
      <c r="B68" s="11" t="str">
        <f>CONCATENATE("          ", "6282", " - ", "JANITORIAL/EXTERMINATOR EXPENS")</f>
        <v xml:space="preserve">          6282 - JANITORIAL/EXTERMINATOR EXPENS</v>
      </c>
      <c r="C68" s="11"/>
      <c r="D68" s="6"/>
      <c r="E68" s="2"/>
      <c r="F68" s="7">
        <f t="shared" si="44"/>
        <v>0</v>
      </c>
      <c r="G68" s="2"/>
      <c r="H68" s="6">
        <v>329</v>
      </c>
      <c r="I68" s="2"/>
      <c r="J68" s="7">
        <f t="shared" si="45"/>
        <v>2.0990174811790226E-2</v>
      </c>
      <c r="K68" s="2"/>
      <c r="L68" s="6">
        <f t="shared" si="46"/>
        <v>-329</v>
      </c>
      <c r="M68" s="2"/>
      <c r="N68" s="7">
        <f t="shared" si="47"/>
        <v>-1</v>
      </c>
      <c r="O68" s="11"/>
      <c r="P68" s="6">
        <v>1466.03</v>
      </c>
      <c r="Q68" s="2"/>
      <c r="R68" s="7">
        <f t="shared" si="48"/>
        <v>4.1478987050672364E-2</v>
      </c>
      <c r="S68" s="2"/>
      <c r="T68" s="6">
        <v>1645</v>
      </c>
      <c r="U68" s="2"/>
      <c r="V68" s="7">
        <f t="shared" si="49"/>
        <v>2.1311050654229821E-2</v>
      </c>
      <c r="W68" s="2"/>
      <c r="X68" s="6">
        <f t="shared" si="50"/>
        <v>-178.97000000000003</v>
      </c>
      <c r="Y68" s="2"/>
      <c r="Z68" s="7">
        <f t="shared" si="51"/>
        <v>-0.10879635258358664</v>
      </c>
    </row>
    <row r="69" spans="1:26" s="24" customFormat="1" hidden="1" outlineLevel="2" x14ac:dyDescent="0.25">
      <c r="A69" s="28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4"/>
        <v>0</v>
      </c>
      <c r="G69" s="2"/>
      <c r="H69" s="6">
        <v>62</v>
      </c>
      <c r="I69" s="2"/>
      <c r="J69" s="7">
        <f t="shared" si="45"/>
        <v>3.9555952532856964E-3</v>
      </c>
      <c r="K69" s="2"/>
      <c r="L69" s="6">
        <f t="shared" si="46"/>
        <v>-62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248</v>
      </c>
      <c r="U69" s="2"/>
      <c r="V69" s="7">
        <f t="shared" si="49"/>
        <v>3.2128514056224901E-3</v>
      </c>
      <c r="W69" s="2"/>
      <c r="X69" s="6">
        <f t="shared" si="50"/>
        <v>-248</v>
      </c>
      <c r="Y69" s="2"/>
      <c r="Z69" s="7">
        <f t="shared" si="51"/>
        <v>-1</v>
      </c>
    </row>
    <row r="70" spans="1:26" s="24" customFormat="1" hidden="1" outlineLevel="2" x14ac:dyDescent="0.25">
      <c r="A70" s="28"/>
      <c r="B70" s="11" t="str">
        <f>CONCATENATE("          ", "6284", " - ", "TRASH REMOVAL EXPENSE")</f>
        <v xml:space="preserve">          6284 - TRASH REMOVAL EXPENSE</v>
      </c>
      <c r="C70" s="11"/>
      <c r="D70" s="6">
        <v>1000</v>
      </c>
      <c r="E70" s="2"/>
      <c r="F70" s="7">
        <f t="shared" si="44"/>
        <v>0.11550385089838894</v>
      </c>
      <c r="G70" s="2"/>
      <c r="H70" s="6">
        <v>623</v>
      </c>
      <c r="I70" s="2"/>
      <c r="J70" s="7">
        <f t="shared" si="45"/>
        <v>3.9747352303177233E-2</v>
      </c>
      <c r="K70" s="2"/>
      <c r="L70" s="6">
        <f t="shared" si="46"/>
        <v>377</v>
      </c>
      <c r="M70" s="2"/>
      <c r="N70" s="7">
        <f t="shared" si="47"/>
        <v>0.60513643659711081</v>
      </c>
      <c r="O70" s="11"/>
      <c r="P70" s="6">
        <v>4761</v>
      </c>
      <c r="Q70" s="2"/>
      <c r="R70" s="7">
        <f t="shared" si="48"/>
        <v>0.13470492237420184</v>
      </c>
      <c r="S70" s="2"/>
      <c r="T70" s="6">
        <v>2492</v>
      </c>
      <c r="U70" s="2"/>
      <c r="V70" s="7">
        <f t="shared" si="49"/>
        <v>3.2283974608109861E-2</v>
      </c>
      <c r="W70" s="2"/>
      <c r="X70" s="6">
        <f t="shared" si="50"/>
        <v>2269</v>
      </c>
      <c r="Y70" s="2"/>
      <c r="Z70" s="7">
        <f t="shared" si="51"/>
        <v>0.9105136436597111</v>
      </c>
    </row>
    <row r="71" spans="1:26" s="24" customFormat="1" hidden="1" outlineLevel="2" x14ac:dyDescent="0.25">
      <c r="A71" s="28"/>
      <c r="B71" s="11" t="str">
        <f>CONCATENATE("          ", "6285", " - ", "JANITORIAL SERVICES")</f>
        <v xml:space="preserve">          6285 - JANITORIAL SERVICES</v>
      </c>
      <c r="C71" s="11"/>
      <c r="D71" s="6">
        <v>3179.44</v>
      </c>
      <c r="E71" s="2"/>
      <c r="F71" s="7">
        <f t="shared" si="44"/>
        <v>0.36723756370037375</v>
      </c>
      <c r="G71" s="2"/>
      <c r="H71" s="6">
        <v>3041</v>
      </c>
      <c r="I71" s="2"/>
      <c r="J71" s="7">
        <f t="shared" si="45"/>
        <v>0.19401556718131938</v>
      </c>
      <c r="K71" s="2"/>
      <c r="L71" s="6">
        <f t="shared" si="46"/>
        <v>138.44000000000005</v>
      </c>
      <c r="M71" s="2"/>
      <c r="N71" s="7">
        <f t="shared" si="47"/>
        <v>4.5524498520223632E-2</v>
      </c>
      <c r="O71" s="11"/>
      <c r="P71" s="6">
        <v>9591.3700000000008</v>
      </c>
      <c r="Q71" s="2"/>
      <c r="R71" s="7">
        <f t="shared" si="48"/>
        <v>0.2713725585616989</v>
      </c>
      <c r="S71" s="2"/>
      <c r="T71" s="6">
        <v>15505</v>
      </c>
      <c r="U71" s="2"/>
      <c r="V71" s="7">
        <f t="shared" si="49"/>
        <v>0.2008679880813577</v>
      </c>
      <c r="W71" s="2"/>
      <c r="X71" s="6">
        <f t="shared" si="50"/>
        <v>-5913.6299999999992</v>
      </c>
      <c r="Y71" s="2"/>
      <c r="Z71" s="7">
        <f t="shared" si="51"/>
        <v>-0.381401483392454</v>
      </c>
    </row>
    <row r="72" spans="1:26" s="24" customFormat="1" hidden="1" outlineLevel="2" x14ac:dyDescent="0.25">
      <c r="A72" s="28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365.63</v>
      </c>
      <c r="Q72" s="2"/>
      <c r="R72" s="7">
        <f t="shared" si="48"/>
        <v>1.0344919295878895E-2</v>
      </c>
      <c r="S72" s="2"/>
      <c r="T72" s="6"/>
      <c r="U72" s="2"/>
      <c r="V72" s="7">
        <f t="shared" si="49"/>
        <v>0</v>
      </c>
      <c r="W72" s="2"/>
      <c r="X72" s="6">
        <f t="shared" si="50"/>
        <v>365.63</v>
      </c>
      <c r="Y72" s="2"/>
      <c r="Z72" s="7">
        <f t="shared" si="51"/>
        <v>0</v>
      </c>
    </row>
    <row r="73" spans="1:26" s="29" customFormat="1" outlineLevel="1" collapsed="1" x14ac:dyDescent="0.25">
      <c r="A73" s="27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SUM(OSRRefD22_12x_0)</f>
        <v>0</v>
      </c>
      <c r="E73" s="1"/>
      <c r="F73" s="5">
        <f t="shared" ref="F73:F82" si="52">IF(D$12=0,0,D73/D$12)</f>
        <v>0</v>
      </c>
      <c r="G73" s="1"/>
      <c r="H73" s="1">
        <f>SUM(OSRRefH22_12x_0)</f>
        <v>197</v>
      </c>
      <c r="I73" s="1"/>
      <c r="J73" s="5">
        <f t="shared" ref="J73:J82" si="53">IF(H$12=0,0,H73/H$12)</f>
        <v>1.2568584917698099E-2</v>
      </c>
      <c r="K73" s="1"/>
      <c r="L73" s="1">
        <f t="shared" ref="L73:L82" si="54">+D73-H73</f>
        <v>-197</v>
      </c>
      <c r="M73" s="1"/>
      <c r="N73" s="5">
        <f t="shared" ref="N73:N82" si="55">IF(H73=0,0,L73/H73)</f>
        <v>-1</v>
      </c>
      <c r="O73" s="14"/>
      <c r="P73" s="1">
        <f>SUM(OSRRefP22_12x_0)</f>
        <v>271.33</v>
      </c>
      <c r="Q73" s="1"/>
      <c r="R73" s="5">
        <f t="shared" ref="R73:R82" si="56">IF(P$12=0,0,P73/P$12)</f>
        <v>7.6768507850855251E-3</v>
      </c>
      <c r="S73" s="1"/>
      <c r="T73" s="1">
        <f>SUM(OSRRefT22_12x_0)</f>
        <v>985</v>
      </c>
      <c r="U73" s="1"/>
      <c r="V73" s="5">
        <f t="shared" ref="V73:V82" si="57">IF(T$12=0,0,T73/T$12)</f>
        <v>1.2760720300557067E-2</v>
      </c>
      <c r="W73" s="1"/>
      <c r="X73" s="1">
        <f t="shared" ref="X73:X82" si="58">+P73-T73</f>
        <v>-713.67000000000007</v>
      </c>
      <c r="Y73" s="1"/>
      <c r="Z73" s="5">
        <f t="shared" ref="Z73:Z82" si="59">IF(T73=0,0,X73/T73)</f>
        <v>-0.72453807106598989</v>
      </c>
    </row>
    <row r="74" spans="1:26" s="24" customFormat="1" hidden="1" outlineLevel="2" x14ac:dyDescent="0.25">
      <c r="A74" s="28"/>
      <c r="B74" s="11" t="str">
        <f>CONCATENATE("          ", "6275", " - ", "SUBSCRIPTIONS")</f>
        <v xml:space="preserve">          6275 - SUBSCRIPTIONS</v>
      </c>
      <c r="C74" s="11"/>
      <c r="D74" s="6"/>
      <c r="E74" s="2"/>
      <c r="F74" s="7">
        <f t="shared" si="52"/>
        <v>0</v>
      </c>
      <c r="G74" s="2"/>
      <c r="H74" s="6">
        <v>197</v>
      </c>
      <c r="I74" s="2"/>
      <c r="J74" s="7">
        <f t="shared" si="53"/>
        <v>1.2568584917698099E-2</v>
      </c>
      <c r="K74" s="2"/>
      <c r="L74" s="6">
        <f t="shared" si="54"/>
        <v>-197</v>
      </c>
      <c r="M74" s="2"/>
      <c r="N74" s="7">
        <f t="shared" si="55"/>
        <v>-1</v>
      </c>
      <c r="O74" s="11"/>
      <c r="P74" s="6">
        <v>271.33</v>
      </c>
      <c r="Q74" s="2"/>
      <c r="R74" s="7">
        <f t="shared" si="56"/>
        <v>7.6768507850855251E-3</v>
      </c>
      <c r="S74" s="2"/>
      <c r="T74" s="6">
        <v>985</v>
      </c>
      <c r="U74" s="2"/>
      <c r="V74" s="7">
        <f t="shared" si="57"/>
        <v>1.2760720300557067E-2</v>
      </c>
      <c r="W74" s="2"/>
      <c r="X74" s="6">
        <f t="shared" si="58"/>
        <v>-713.67000000000007</v>
      </c>
      <c r="Y74" s="2"/>
      <c r="Z74" s="7">
        <f t="shared" si="59"/>
        <v>-0.72453807106598989</v>
      </c>
    </row>
    <row r="75" spans="1:26" s="29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0</v>
      </c>
      <c r="E75" s="1"/>
      <c r="F75" s="5">
        <f t="shared" si="52"/>
        <v>0</v>
      </c>
      <c r="G75" s="1"/>
      <c r="H75" s="1">
        <f>SUM(OSRRefH22_13x_0)</f>
        <v>1232</v>
      </c>
      <c r="I75" s="1"/>
      <c r="J75" s="5">
        <f t="shared" si="53"/>
        <v>7.8601505678193184E-2</v>
      </c>
      <c r="K75" s="1"/>
      <c r="L75" s="1">
        <f t="shared" si="54"/>
        <v>-1232</v>
      </c>
      <c r="M75" s="1"/>
      <c r="N75" s="5">
        <f t="shared" si="55"/>
        <v>-1</v>
      </c>
      <c r="O75" s="14"/>
      <c r="P75" s="1">
        <f>SUM(OSRRefP22_13x_0)</f>
        <v>7486.5</v>
      </c>
      <c r="Q75" s="1"/>
      <c r="R75" s="5">
        <f t="shared" si="56"/>
        <v>0.2118186098203029</v>
      </c>
      <c r="S75" s="1"/>
      <c r="T75" s="1">
        <f>SUM(OSRRefT22_13x_0)</f>
        <v>12563</v>
      </c>
      <c r="U75" s="1"/>
      <c r="V75" s="5">
        <f t="shared" si="57"/>
        <v>0.16275424277756187</v>
      </c>
      <c r="W75" s="1"/>
      <c r="X75" s="1">
        <f t="shared" si="58"/>
        <v>-5076.5</v>
      </c>
      <c r="Y75" s="1"/>
      <c r="Z75" s="5">
        <f t="shared" si="59"/>
        <v>-0.40408341956539046</v>
      </c>
    </row>
    <row r="76" spans="1:26" s="24" customFormat="1" hidden="1" outlineLevel="2" x14ac:dyDescent="0.25">
      <c r="A76" s="28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52"/>
        <v>0</v>
      </c>
      <c r="G76" s="2"/>
      <c r="H76" s="6">
        <v>68</v>
      </c>
      <c r="I76" s="2"/>
      <c r="J76" s="7">
        <f t="shared" si="53"/>
        <v>4.3383947939262474E-3</v>
      </c>
      <c r="K76" s="2"/>
      <c r="L76" s="6">
        <f t="shared" si="54"/>
        <v>-68</v>
      </c>
      <c r="M76" s="2"/>
      <c r="N76" s="7">
        <f t="shared" si="55"/>
        <v>-1</v>
      </c>
      <c r="O76" s="11"/>
      <c r="P76" s="6">
        <v>310.91000000000003</v>
      </c>
      <c r="Q76" s="2"/>
      <c r="R76" s="7">
        <f t="shared" si="56"/>
        <v>8.7967039309731366E-3</v>
      </c>
      <c r="S76" s="2"/>
      <c r="T76" s="6">
        <v>68</v>
      </c>
      <c r="U76" s="2"/>
      <c r="V76" s="7">
        <f t="shared" si="57"/>
        <v>8.8094312734810203E-4</v>
      </c>
      <c r="W76" s="2"/>
      <c r="X76" s="6">
        <f t="shared" si="58"/>
        <v>242.91000000000003</v>
      </c>
      <c r="Y76" s="2"/>
      <c r="Z76" s="7">
        <f t="shared" si="59"/>
        <v>3.5722058823529417</v>
      </c>
    </row>
    <row r="77" spans="1:26" s="24" customFormat="1" hidden="1" outlineLevel="2" x14ac:dyDescent="0.25">
      <c r="A77" s="28"/>
      <c r="B77" s="11" t="str">
        <f>CONCATENATE("          ", "6235", " - ", "COVID-19 EXPENSES")</f>
        <v xml:space="preserve">          6235 - COVID-19 EXPENSES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6753.97</v>
      </c>
      <c r="Q77" s="2"/>
      <c r="R77" s="7">
        <f t="shared" si="56"/>
        <v>0.19109283859854823</v>
      </c>
      <c r="S77" s="2"/>
      <c r="T77" s="6"/>
      <c r="U77" s="2"/>
      <c r="V77" s="7">
        <f t="shared" si="57"/>
        <v>0</v>
      </c>
      <c r="W77" s="2"/>
      <c r="X77" s="6">
        <f t="shared" si="58"/>
        <v>6753.97</v>
      </c>
      <c r="Y77" s="2"/>
      <c r="Z77" s="7">
        <f t="shared" si="59"/>
        <v>0</v>
      </c>
    </row>
    <row r="78" spans="1:26" s="24" customFormat="1" hidden="1" outlineLevel="2" x14ac:dyDescent="0.25">
      <c r="A78" s="28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52"/>
        <v>0</v>
      </c>
      <c r="G78" s="2"/>
      <c r="H78" s="6">
        <v>890</v>
      </c>
      <c r="I78" s="2"/>
      <c r="J78" s="7">
        <f t="shared" si="53"/>
        <v>5.6781931861681768E-2</v>
      </c>
      <c r="K78" s="2"/>
      <c r="L78" s="6">
        <f t="shared" si="54"/>
        <v>-890</v>
      </c>
      <c r="M78" s="2"/>
      <c r="N78" s="7">
        <f t="shared" si="55"/>
        <v>-1</v>
      </c>
      <c r="O78" s="11"/>
      <c r="P78" s="6">
        <v>268.05</v>
      </c>
      <c r="Q78" s="2"/>
      <c r="R78" s="7">
        <f t="shared" si="56"/>
        <v>7.5840484021014089E-3</v>
      </c>
      <c r="S78" s="2"/>
      <c r="T78" s="6">
        <v>3698</v>
      </c>
      <c r="U78" s="2"/>
      <c r="V78" s="7">
        <f t="shared" si="57"/>
        <v>4.790776007254826E-2</v>
      </c>
      <c r="W78" s="2"/>
      <c r="X78" s="6">
        <f t="shared" si="58"/>
        <v>-3429.95</v>
      </c>
      <c r="Y78" s="2"/>
      <c r="Z78" s="7">
        <f t="shared" si="59"/>
        <v>-0.92751487290427248</v>
      </c>
    </row>
    <row r="79" spans="1:26" s="24" customFormat="1" hidden="1" outlineLevel="2" x14ac:dyDescent="0.25">
      <c r="A79" s="28"/>
      <c r="B79" s="11" t="str">
        <f>CONCATENATE("          ", "6239", " - ", "KITCHEN SUPPLIES")</f>
        <v xml:space="preserve">          6239 - KITCHEN SUPPLIES</v>
      </c>
      <c r="C79" s="11"/>
      <c r="D79" s="6"/>
      <c r="E79" s="2"/>
      <c r="F79" s="7">
        <f t="shared" si="52"/>
        <v>0</v>
      </c>
      <c r="G79" s="2"/>
      <c r="H79" s="6">
        <v>40</v>
      </c>
      <c r="I79" s="2"/>
      <c r="J79" s="7">
        <f t="shared" si="53"/>
        <v>2.5519969376036748E-3</v>
      </c>
      <c r="K79" s="2"/>
      <c r="L79" s="6">
        <f t="shared" si="54"/>
        <v>-40</v>
      </c>
      <c r="M79" s="2"/>
      <c r="N79" s="7">
        <f t="shared" si="55"/>
        <v>-1</v>
      </c>
      <c r="O79" s="11"/>
      <c r="P79" s="6">
        <v>19.829999999999998</v>
      </c>
      <c r="Q79" s="2"/>
      <c r="R79" s="7">
        <f t="shared" si="56"/>
        <v>5.6105830932165978E-4</v>
      </c>
      <c r="S79" s="2"/>
      <c r="T79" s="6">
        <v>232</v>
      </c>
      <c r="U79" s="2"/>
      <c r="V79" s="7">
        <f t="shared" si="57"/>
        <v>3.0055706697758775E-3</v>
      </c>
      <c r="W79" s="2"/>
      <c r="X79" s="6">
        <f t="shared" si="58"/>
        <v>-212.17000000000002</v>
      </c>
      <c r="Y79" s="2"/>
      <c r="Z79" s="7">
        <f t="shared" si="59"/>
        <v>-0.91452586206896558</v>
      </c>
    </row>
    <row r="80" spans="1:26" s="24" customFormat="1" hidden="1" outlineLevel="2" x14ac:dyDescent="0.25">
      <c r="A80" s="28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133.74</v>
      </c>
      <c r="Q80" s="2"/>
      <c r="R80" s="7">
        <f t="shared" si="56"/>
        <v>3.7839605793584868E-3</v>
      </c>
      <c r="S80" s="2"/>
      <c r="T80" s="6">
        <v>5262</v>
      </c>
      <c r="U80" s="2"/>
      <c r="V80" s="7">
        <f t="shared" si="57"/>
        <v>6.8169452001554609E-2</v>
      </c>
      <c r="W80" s="2"/>
      <c r="X80" s="6">
        <f t="shared" si="58"/>
        <v>-5128.26</v>
      </c>
      <c r="Y80" s="2"/>
      <c r="Z80" s="7">
        <f t="shared" si="59"/>
        <v>-0.97458380843785641</v>
      </c>
    </row>
    <row r="81" spans="1:26" s="24" customFormat="1" hidden="1" outlineLevel="2" x14ac:dyDescent="0.25">
      <c r="A81" s="28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2"/>
        <v>0</v>
      </c>
      <c r="G81" s="2"/>
      <c r="H81" s="6">
        <v>234</v>
      </c>
      <c r="I81" s="2"/>
      <c r="J81" s="7">
        <f t="shared" si="53"/>
        <v>1.4929182084981498E-2</v>
      </c>
      <c r="K81" s="2"/>
      <c r="L81" s="6">
        <f t="shared" si="54"/>
        <v>-234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2892</v>
      </c>
      <c r="U81" s="2"/>
      <c r="V81" s="7">
        <f t="shared" si="57"/>
        <v>3.7465993004275167E-2</v>
      </c>
      <c r="W81" s="2"/>
      <c r="X81" s="6">
        <f t="shared" si="58"/>
        <v>-2892</v>
      </c>
      <c r="Y81" s="2"/>
      <c r="Z81" s="7">
        <f t="shared" si="59"/>
        <v>-1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411</v>
      </c>
      <c r="U82" s="2"/>
      <c r="V82" s="7">
        <f t="shared" si="57"/>
        <v>5.3245239020598524E-3</v>
      </c>
      <c r="W82" s="2"/>
      <c r="X82" s="6">
        <f t="shared" si="58"/>
        <v>-411</v>
      </c>
      <c r="Y82" s="2"/>
      <c r="Z82" s="7">
        <f t="shared" si="59"/>
        <v>-1</v>
      </c>
    </row>
    <row r="83" spans="1:26" s="29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-56</v>
      </c>
      <c r="E83" s="1"/>
      <c r="F83" s="5">
        <f t="shared" ref="F83:F85" si="60">IF(D$12=0,0,D83/D$12)</f>
        <v>-6.4682156503097802E-3</v>
      </c>
      <c r="G83" s="1"/>
      <c r="H83" s="1">
        <f>SUM(OSRRefH22_14x_0)</f>
        <v>138</v>
      </c>
      <c r="I83" s="1"/>
      <c r="J83" s="5">
        <f t="shared" ref="J83:J85" si="61">IF(H$12=0,0,H83/H$12)</f>
        <v>8.8043894347326779E-3</v>
      </c>
      <c r="K83" s="1"/>
      <c r="L83" s="1">
        <f t="shared" ref="L83:L85" si="62">+D83-H83</f>
        <v>-194</v>
      </c>
      <c r="M83" s="1"/>
      <c r="N83" s="5">
        <f t="shared" ref="N83:N85" si="63">IF(H83=0,0,L83/H83)</f>
        <v>-1.4057971014492754</v>
      </c>
      <c r="O83" s="14"/>
      <c r="P83" s="1">
        <f>SUM(OSRRefP22_14x_0)</f>
        <v>1078</v>
      </c>
      <c r="Q83" s="1"/>
      <c r="R83" s="5">
        <f t="shared" ref="R83:R85" si="64">IF(P$12=0,0,P83/P$12)</f>
        <v>3.0500295383194622E-2</v>
      </c>
      <c r="S83" s="1"/>
      <c r="T83" s="1">
        <f>SUM(OSRRefT22_14x_0)</f>
        <v>1018</v>
      </c>
      <c r="U83" s="1"/>
      <c r="V83" s="5">
        <f t="shared" ref="V83:V85" si="65">IF(T$12=0,0,T83/T$12)</f>
        <v>1.3188236818240705E-2</v>
      </c>
      <c r="W83" s="1"/>
      <c r="X83" s="1">
        <f t="shared" ref="X83:X85" si="66">+P83-T83</f>
        <v>60</v>
      </c>
      <c r="Y83" s="1"/>
      <c r="Z83" s="5">
        <f t="shared" ref="Z83:Z85" si="67">IF(T83=0,0,X83/T83)</f>
        <v>5.8939096267190572E-2</v>
      </c>
    </row>
    <row r="84" spans="1:26" s="24" customFormat="1" hidden="1" outlineLevel="2" x14ac:dyDescent="0.25">
      <c r="A84" s="28"/>
      <c r="B84" s="11" t="str">
        <f>CONCATENATE("          ", "6303", " - ", "DATA PHONE LINES")</f>
        <v xml:space="preserve">          6303 - DATA PHONE LINES</v>
      </c>
      <c r="C84" s="11"/>
      <c r="D84" s="6"/>
      <c r="E84" s="2"/>
      <c r="F84" s="7">
        <f t="shared" si="60"/>
        <v>0</v>
      </c>
      <c r="G84" s="2"/>
      <c r="H84" s="6">
        <v>138</v>
      </c>
      <c r="I84" s="2"/>
      <c r="J84" s="7">
        <f t="shared" si="61"/>
        <v>8.8043894347326779E-3</v>
      </c>
      <c r="K84" s="2"/>
      <c r="L84" s="6">
        <f t="shared" si="62"/>
        <v>-138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718</v>
      </c>
      <c r="U84" s="2"/>
      <c r="V84" s="7">
        <f t="shared" si="65"/>
        <v>9.3017230211167243E-3</v>
      </c>
      <c r="W84" s="2"/>
      <c r="X84" s="6">
        <f t="shared" si="66"/>
        <v>-718</v>
      </c>
      <c r="Y84" s="2"/>
      <c r="Z84" s="7">
        <f t="shared" si="67"/>
        <v>-1</v>
      </c>
    </row>
    <row r="85" spans="1:26" s="24" customFormat="1" hidden="1" outlineLevel="2" x14ac:dyDescent="0.25">
      <c r="A85" s="28"/>
      <c r="B85" s="11" t="str">
        <f>CONCATENATE("          ", "6309", " - ", "TELEPHONE")</f>
        <v xml:space="preserve">          6309 - TELEPHONE</v>
      </c>
      <c r="C85" s="11"/>
      <c r="D85" s="6">
        <v>-56</v>
      </c>
      <c r="E85" s="2"/>
      <c r="F85" s="7">
        <f t="shared" si="60"/>
        <v>-6.4682156503097802E-3</v>
      </c>
      <c r="G85" s="2"/>
      <c r="H85" s="6"/>
      <c r="I85" s="2"/>
      <c r="J85" s="7">
        <f t="shared" si="61"/>
        <v>0</v>
      </c>
      <c r="K85" s="2"/>
      <c r="L85" s="6">
        <f t="shared" si="62"/>
        <v>-56</v>
      </c>
      <c r="M85" s="2"/>
      <c r="N85" s="7">
        <f t="shared" si="63"/>
        <v>0</v>
      </c>
      <c r="O85" s="11"/>
      <c r="P85" s="6">
        <v>1078</v>
      </c>
      <c r="Q85" s="2"/>
      <c r="R85" s="7">
        <f t="shared" si="64"/>
        <v>3.0500295383194622E-2</v>
      </c>
      <c r="S85" s="2"/>
      <c r="T85" s="6">
        <v>300</v>
      </c>
      <c r="U85" s="2"/>
      <c r="V85" s="7">
        <f t="shared" si="65"/>
        <v>3.88651379712398E-3</v>
      </c>
      <c r="W85" s="2"/>
      <c r="X85" s="6">
        <f t="shared" si="66"/>
        <v>778</v>
      </c>
      <c r="Y85" s="2"/>
      <c r="Z85" s="7">
        <f t="shared" si="67"/>
        <v>2.5933333333333333</v>
      </c>
    </row>
    <row r="86" spans="1:26" s="29" customFormat="1" outlineLevel="1" collapsed="1" x14ac:dyDescent="0.25">
      <c r="A86" s="27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SUM(OSRRefD22_15x_0)</f>
        <v>400</v>
      </c>
      <c r="E86" s="1"/>
      <c r="F86" s="5">
        <f t="shared" ref="F86:F90" si="68">IF(D$12=0,0,D86/D$12)</f>
        <v>4.6201540359355572E-2</v>
      </c>
      <c r="G86" s="1"/>
      <c r="H86" s="1">
        <f>SUM(OSRRefH22_15x_0)</f>
        <v>0</v>
      </c>
      <c r="I86" s="1"/>
      <c r="J86" s="5">
        <f t="shared" ref="J86:J90" si="69">IF(H$12=0,0,H86/H$12)</f>
        <v>0</v>
      </c>
      <c r="K86" s="1"/>
      <c r="L86" s="1">
        <f t="shared" ref="L86:L90" si="70">+D86-H86</f>
        <v>400</v>
      </c>
      <c r="M86" s="1"/>
      <c r="N86" s="5">
        <f t="shared" ref="N86:N90" si="71">IF(H86=0,0,L86/H86)</f>
        <v>0</v>
      </c>
      <c r="O86" s="14"/>
      <c r="P86" s="1">
        <f>SUM(OSRRefP22_15x_0)</f>
        <v>400</v>
      </c>
      <c r="Q86" s="1"/>
      <c r="R86" s="5">
        <f t="shared" ref="R86:R90" si="72">IF(P$12=0,0,P86/P$12)</f>
        <v>1.131736377855088E-2</v>
      </c>
      <c r="S86" s="1"/>
      <c r="T86" s="1">
        <f>SUM(OSRRefT22_15x_0)</f>
        <v>0</v>
      </c>
      <c r="U86" s="1"/>
      <c r="V86" s="5">
        <f t="shared" ref="V86:V90" si="73">IF(T$12=0,0,T86/T$12)</f>
        <v>0</v>
      </c>
      <c r="W86" s="1"/>
      <c r="X86" s="1">
        <f t="shared" ref="X86:X90" si="74">+P86-T86</f>
        <v>400</v>
      </c>
      <c r="Y86" s="1"/>
      <c r="Z86" s="5">
        <f t="shared" ref="Z86:Z90" si="75">IF(T86=0,0,X86/T86)</f>
        <v>0</v>
      </c>
    </row>
    <row r="87" spans="1:26" s="24" customFormat="1" hidden="1" outlineLevel="2" x14ac:dyDescent="0.25">
      <c r="A87" s="28"/>
      <c r="B87" s="11" t="str">
        <f>CONCATENATE("          ", "6376", " - ", "TRAINING")</f>
        <v xml:space="preserve">          6376 - TRAINING</v>
      </c>
      <c r="C87" s="11"/>
      <c r="D87" s="6">
        <v>400</v>
      </c>
      <c r="E87" s="2"/>
      <c r="F87" s="7">
        <f t="shared" si="68"/>
        <v>4.6201540359355572E-2</v>
      </c>
      <c r="G87" s="2"/>
      <c r="H87" s="6"/>
      <c r="I87" s="2"/>
      <c r="J87" s="7">
        <f t="shared" si="69"/>
        <v>0</v>
      </c>
      <c r="K87" s="2"/>
      <c r="L87" s="6">
        <f t="shared" si="70"/>
        <v>400</v>
      </c>
      <c r="M87" s="2"/>
      <c r="N87" s="7">
        <f t="shared" si="71"/>
        <v>0</v>
      </c>
      <c r="O87" s="11"/>
      <c r="P87" s="6">
        <v>400</v>
      </c>
      <c r="Q87" s="2"/>
      <c r="R87" s="7">
        <f t="shared" si="72"/>
        <v>1.131736377855088E-2</v>
      </c>
      <c r="S87" s="2"/>
      <c r="T87" s="6"/>
      <c r="U87" s="2"/>
      <c r="V87" s="7">
        <f t="shared" si="73"/>
        <v>0</v>
      </c>
      <c r="W87" s="2"/>
      <c r="X87" s="6">
        <f t="shared" si="74"/>
        <v>400</v>
      </c>
      <c r="Y87" s="2"/>
      <c r="Z87" s="7">
        <f t="shared" si="75"/>
        <v>0</v>
      </c>
    </row>
    <row r="88" spans="1:26" s="29" customFormat="1" outlineLevel="1" collapsed="1" x14ac:dyDescent="0.25">
      <c r="A88" s="27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SUM(OSRRefD22_16x_0)</f>
        <v>0</v>
      </c>
      <c r="E88" s="1"/>
      <c r="F88" s="5">
        <f t="shared" si="68"/>
        <v>0</v>
      </c>
      <c r="G88" s="1"/>
      <c r="H88" s="1">
        <f>SUM(OSRRefH22_16x_0)</f>
        <v>0</v>
      </c>
      <c r="I88" s="1"/>
      <c r="J88" s="5">
        <f t="shared" si="69"/>
        <v>0</v>
      </c>
      <c r="K88" s="1"/>
      <c r="L88" s="1">
        <f t="shared" si="70"/>
        <v>0</v>
      </c>
      <c r="M88" s="1"/>
      <c r="N88" s="5">
        <f t="shared" si="71"/>
        <v>0</v>
      </c>
      <c r="O88" s="14"/>
      <c r="P88" s="1">
        <f>SUM(OSRRefP22_16x_0)</f>
        <v>0</v>
      </c>
      <c r="Q88" s="1"/>
      <c r="R88" s="5">
        <f t="shared" si="72"/>
        <v>0</v>
      </c>
      <c r="S88" s="1"/>
      <c r="T88" s="1">
        <f>SUM(OSRRefT22_16x_0)</f>
        <v>0</v>
      </c>
      <c r="U88" s="1"/>
      <c r="V88" s="5">
        <f t="shared" si="73"/>
        <v>0</v>
      </c>
      <c r="W88" s="1"/>
      <c r="X88" s="1">
        <f t="shared" si="74"/>
        <v>0</v>
      </c>
      <c r="Y88" s="1"/>
      <c r="Z88" s="5">
        <f t="shared" si="75"/>
        <v>0</v>
      </c>
    </row>
    <row r="89" spans="1:26" s="24" customFormat="1" hidden="1" outlineLevel="2" x14ac:dyDescent="0.25">
      <c r="A89" s="28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68"/>
        <v>0</v>
      </c>
      <c r="G89" s="2"/>
      <c r="H89" s="6"/>
      <c r="I89" s="2"/>
      <c r="J89" s="7">
        <f t="shared" si="69"/>
        <v>0</v>
      </c>
      <c r="K89" s="2"/>
      <c r="L89" s="6">
        <f t="shared" si="70"/>
        <v>0</v>
      </c>
      <c r="M89" s="2"/>
      <c r="N89" s="7">
        <f t="shared" si="71"/>
        <v>0</v>
      </c>
      <c r="O89" s="11"/>
      <c r="P89" s="6"/>
      <c r="Q89" s="2"/>
      <c r="R89" s="7">
        <f t="shared" si="72"/>
        <v>0</v>
      </c>
      <c r="S89" s="2"/>
      <c r="T89" s="6">
        <v>0</v>
      </c>
      <c r="U89" s="2"/>
      <c r="V89" s="7">
        <f t="shared" si="73"/>
        <v>0</v>
      </c>
      <c r="W89" s="2"/>
      <c r="X89" s="6">
        <f t="shared" si="74"/>
        <v>0</v>
      </c>
      <c r="Y89" s="2"/>
      <c r="Z89" s="7">
        <f t="shared" si="75"/>
        <v>0</v>
      </c>
    </row>
    <row r="90" spans="1:26" s="24" customFormat="1" hidden="1" outlineLevel="2" x14ac:dyDescent="0.25">
      <c r="A90" s="28"/>
      <c r="B90" s="11" t="str">
        <f>CONCATENATE("          ", "6294", " - ", "TRAVEL OPERATIONAL")</f>
        <v xml:space="preserve">          6294 - TRAVEL OPERATIONAL</v>
      </c>
      <c r="C90" s="11"/>
      <c r="D90" s="6"/>
      <c r="E90" s="2"/>
      <c r="F90" s="7">
        <f t="shared" si="68"/>
        <v>0</v>
      </c>
      <c r="G90" s="2"/>
      <c r="H90" s="6"/>
      <c r="I90" s="2"/>
      <c r="J90" s="7">
        <f t="shared" si="69"/>
        <v>0</v>
      </c>
      <c r="K90" s="2"/>
      <c r="L90" s="6">
        <f t="shared" si="70"/>
        <v>0</v>
      </c>
      <c r="M90" s="2"/>
      <c r="N90" s="7">
        <f t="shared" si="71"/>
        <v>0</v>
      </c>
      <c r="O90" s="11"/>
      <c r="P90" s="6"/>
      <c r="Q90" s="2"/>
      <c r="R90" s="7">
        <f t="shared" si="72"/>
        <v>0</v>
      </c>
      <c r="S90" s="2"/>
      <c r="T90" s="6">
        <v>0</v>
      </c>
      <c r="U90" s="2"/>
      <c r="V90" s="7">
        <f t="shared" si="73"/>
        <v>0</v>
      </c>
      <c r="W90" s="2"/>
      <c r="X90" s="6">
        <f t="shared" si="74"/>
        <v>0</v>
      </c>
      <c r="Y90" s="2"/>
      <c r="Z90" s="7">
        <f t="shared" si="75"/>
        <v>0</v>
      </c>
    </row>
    <row r="91" spans="1:26" s="29" customFormat="1" outlineLevel="1" collapsed="1" x14ac:dyDescent="0.25">
      <c r="A91" s="27"/>
      <c r="B91" s="14" t="str">
        <f>CONCATENATE("     ","Utilities                                         ")</f>
        <v xml:space="preserve">     Utilities                                         </v>
      </c>
      <c r="C91" s="14"/>
      <c r="D91" s="1">
        <f>SUM(OSRRefD22_17x_0)</f>
        <v>2312</v>
      </c>
      <c r="E91" s="1"/>
      <c r="F91" s="5">
        <f t="shared" ref="F91:F92" si="76">IF(D$12=0,0,D91/D$12)</f>
        <v>0.2670449032770752</v>
      </c>
      <c r="G91" s="1"/>
      <c r="H91" s="1">
        <f>SUM(OSRRefH22_17x_0)</f>
        <v>2300</v>
      </c>
      <c r="I91" s="1"/>
      <c r="J91" s="5">
        <f t="shared" ref="J91:J92" si="77">IF(H$12=0,0,H91/H$12)</f>
        <v>0.1467398239122113</v>
      </c>
      <c r="K91" s="1"/>
      <c r="L91" s="1">
        <f t="shared" ref="L91:L92" si="78">+D91-H91</f>
        <v>12</v>
      </c>
      <c r="M91" s="1"/>
      <c r="N91" s="5">
        <f t="shared" ref="N91:N92" si="79">IF(H91=0,0,L91/H91)</f>
        <v>5.2173913043478265E-3</v>
      </c>
      <c r="O91" s="14"/>
      <c r="P91" s="1">
        <f>SUM(OSRRefP22_17x_0)</f>
        <v>11512</v>
      </c>
      <c r="Q91" s="1"/>
      <c r="R91" s="5">
        <f t="shared" ref="R91:R92" si="80">IF(P$12=0,0,P91/P$12)</f>
        <v>0.32571372954669431</v>
      </c>
      <c r="S91" s="1"/>
      <c r="T91" s="1">
        <f>SUM(OSRRefT22_17x_0)</f>
        <v>11500</v>
      </c>
      <c r="U91" s="1"/>
      <c r="V91" s="5">
        <f t="shared" ref="V91:V92" si="81">IF(T$12=0,0,T91/T$12)</f>
        <v>0.14898302888975257</v>
      </c>
      <c r="W91" s="1"/>
      <c r="X91" s="1">
        <f t="shared" ref="X91:X92" si="82">+P91-T91</f>
        <v>12</v>
      </c>
      <c r="Y91" s="1"/>
      <c r="Z91" s="5">
        <f t="shared" ref="Z91:Z92" si="83">IF(T91=0,0,X91/T91)</f>
        <v>1.0434782608695651E-3</v>
      </c>
    </row>
    <row r="92" spans="1:26" s="24" customFormat="1" hidden="1" outlineLevel="2" x14ac:dyDescent="0.25">
      <c r="A92" s="28"/>
      <c r="B92" s="11" t="str">
        <f>CONCATENATE("          ", "6274", " - ", "UTILITIES")</f>
        <v xml:space="preserve">          6274 - UTILITIES</v>
      </c>
      <c r="C92" s="11"/>
      <c r="D92" s="6">
        <v>2312</v>
      </c>
      <c r="E92" s="2"/>
      <c r="F92" s="7">
        <f t="shared" si="76"/>
        <v>0.2670449032770752</v>
      </c>
      <c r="G92" s="2"/>
      <c r="H92" s="6">
        <v>2300</v>
      </c>
      <c r="I92" s="2"/>
      <c r="J92" s="7">
        <f t="shared" si="77"/>
        <v>0.1467398239122113</v>
      </c>
      <c r="K92" s="2"/>
      <c r="L92" s="6">
        <f t="shared" si="78"/>
        <v>12</v>
      </c>
      <c r="M92" s="2"/>
      <c r="N92" s="7">
        <f t="shared" si="79"/>
        <v>5.2173913043478265E-3</v>
      </c>
      <c r="O92" s="11"/>
      <c r="P92" s="6">
        <v>11512</v>
      </c>
      <c r="Q92" s="2"/>
      <c r="R92" s="7">
        <f t="shared" si="80"/>
        <v>0.32571372954669431</v>
      </c>
      <c r="S92" s="2"/>
      <c r="T92" s="6">
        <v>11500</v>
      </c>
      <c r="U92" s="2"/>
      <c r="V92" s="7">
        <f t="shared" si="81"/>
        <v>0.14898302888975257</v>
      </c>
      <c r="W92" s="2"/>
      <c r="X92" s="6">
        <f t="shared" si="82"/>
        <v>12</v>
      </c>
      <c r="Y92" s="2"/>
      <c r="Z92" s="7">
        <f t="shared" si="83"/>
        <v>1.0434782608695651E-3</v>
      </c>
    </row>
    <row r="93" spans="1:26" s="62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6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5" t="s">
        <v>3</v>
      </c>
      <c r="C96" s="25"/>
      <c r="D96" s="21">
        <f>+D23-D25+D94</f>
        <v>-52075.799999999996</v>
      </c>
      <c r="E96" s="13"/>
      <c r="F96" s="20">
        <f>IF(D$12=0,0,D96/D$12)</f>
        <v>-6.0149554386143222</v>
      </c>
      <c r="G96" s="13"/>
      <c r="H96" s="21">
        <f>+H23-H25+H94</f>
        <v>-42832.833186630771</v>
      </c>
      <c r="I96" s="13"/>
      <c r="J96" s="20">
        <f>IF(H$12=0,0,H96/H$12)</f>
        <v>-2.7327314780292697</v>
      </c>
      <c r="K96" s="16"/>
      <c r="L96" s="21">
        <f>+D96-H96</f>
        <v>-9242.9668133692248</v>
      </c>
      <c r="M96" s="16"/>
      <c r="N96" s="20">
        <f>IF(H96=0,0,L96/H96)</f>
        <v>0.21579162819082892</v>
      </c>
      <c r="O96" s="26"/>
      <c r="P96" s="21">
        <f>+P23-P25+P94</f>
        <v>-303115.98</v>
      </c>
      <c r="Q96" s="13"/>
      <c r="R96" s="20">
        <f>IF(P$12=0,0,P96/P$12)</f>
        <v>-8.5761845318798819</v>
      </c>
      <c r="S96" s="13"/>
      <c r="T96" s="21">
        <f>+T23-T25+T94</f>
        <v>-225827.67392954614</v>
      </c>
      <c r="U96" s="13"/>
      <c r="V96" s="20">
        <f>IF(T$12=0,0,T96/T$12)</f>
        <v>-2.9256079016653214</v>
      </c>
      <c r="W96" s="16"/>
      <c r="X96" s="21">
        <f>+P96-T96</f>
        <v>-77288.306070453837</v>
      </c>
      <c r="Y96" s="16"/>
      <c r="Z96" s="20">
        <f>IF(T96=0,0,X96/T96)</f>
        <v>0.34224461832151842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-164.66</v>
      </c>
      <c r="E98" s="4"/>
      <c r="F98" s="12">
        <f>IF(D$12=0,0,D98/D$12)</f>
        <v>-1.9018864088928722E-2</v>
      </c>
      <c r="G98" s="4"/>
      <c r="H98" s="4">
        <v>3695</v>
      </c>
      <c r="I98" s="4"/>
      <c r="J98" s="12">
        <f>IF(H$12=0,0,H98/H$12)</f>
        <v>0.23574071711113948</v>
      </c>
      <c r="K98" s="4"/>
      <c r="L98" s="4">
        <f>+D98-H98</f>
        <v>-3859.66</v>
      </c>
      <c r="M98" s="4"/>
      <c r="N98" s="12">
        <f>IF(H98=0,0,L98/H98)</f>
        <v>-1.0445629228687414</v>
      </c>
      <c r="O98" s="10"/>
      <c r="P98" s="4">
        <v>5616.15</v>
      </c>
      <c r="Q98" s="4"/>
      <c r="R98" s="12">
        <f>IF(P$12=0,0,P98/P$12)</f>
        <v>0.1589000314622713</v>
      </c>
      <c r="S98" s="4"/>
      <c r="T98" s="4">
        <v>13767</v>
      </c>
      <c r="U98" s="4"/>
      <c r="V98" s="12">
        <f>IF(T$12=0,0,T98/T$12)</f>
        <v>0.17835211815001945</v>
      </c>
      <c r="W98" s="4"/>
      <c r="X98" s="4">
        <f>+P98-T98</f>
        <v>-8150.85</v>
      </c>
      <c r="Y98" s="4"/>
      <c r="Z98" s="12">
        <f>IF(T98=0,0,X98/T98)</f>
        <v>-0.59205709304859444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4</v>
      </c>
      <c r="C100" s="25"/>
      <c r="D100" s="31">
        <f>+D96-D98</f>
        <v>-51911.139999999992</v>
      </c>
      <c r="E100" s="13"/>
      <c r="F100" s="34">
        <f>IF(D$12=0,0,D100/D$12)</f>
        <v>-5.995936574525393</v>
      </c>
      <c r="G100" s="13"/>
      <c r="H100" s="31">
        <f>+H96-H98</f>
        <v>-46527.833186630771</v>
      </c>
      <c r="I100" s="13"/>
      <c r="J100" s="34">
        <f>IF(H$12=0,0,H100/H$12)</f>
        <v>-2.9684721951404089</v>
      </c>
      <c r="K100" s="16"/>
      <c r="L100" s="31">
        <f>D100-H100</f>
        <v>-5383.3068133692213</v>
      </c>
      <c r="M100" s="16"/>
      <c r="N100" s="34">
        <f>IF(H100=0,0,L100/H100)</f>
        <v>0.1157007847706102</v>
      </c>
      <c r="O100" s="26"/>
      <c r="P100" s="31">
        <f>+P96-P98</f>
        <v>-308732.13</v>
      </c>
      <c r="Q100" s="13"/>
      <c r="R100" s="34">
        <f>IF(P$12=0,0,P100/P$12)</f>
        <v>-8.7350845633421539</v>
      </c>
      <c r="S100" s="13"/>
      <c r="T100" s="31">
        <f>+T96-T98</f>
        <v>-239594.67392954614</v>
      </c>
      <c r="U100" s="13"/>
      <c r="V100" s="34">
        <f>IF(T$12=0,0,T100/T$12)</f>
        <v>-3.1039600198153408</v>
      </c>
      <c r="W100" s="16"/>
      <c r="X100" s="31">
        <f>P100-T100</f>
        <v>-69137.45607045386</v>
      </c>
      <c r="Y100" s="16"/>
      <c r="Z100" s="34">
        <f>IF(T100=0,0,X100/T100)</f>
        <v>0.28856007079182416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5</v>
      </c>
      <c r="C103" s="25"/>
      <c r="D103" s="33">
        <f>SUM(D100:D102)</f>
        <v>-51911.139999999992</v>
      </c>
      <c r="E103" s="13"/>
      <c r="F103" s="30">
        <f>IF(D$12=0,0,D103/D$12)</f>
        <v>-5.995936574525393</v>
      </c>
      <c r="G103" s="13"/>
      <c r="H103" s="33">
        <f>SUM(H100:H102)</f>
        <v>-46527.833186630771</v>
      </c>
      <c r="I103" s="13"/>
      <c r="J103" s="30">
        <f>IF(H$12=0,0,H103/H$12)</f>
        <v>-2.9684721951404089</v>
      </c>
      <c r="K103" s="16"/>
      <c r="L103" s="33">
        <f>+D103-H103</f>
        <v>-5383.3068133692213</v>
      </c>
      <c r="M103" s="16"/>
      <c r="N103" s="30">
        <f>IF(H103=0,0,L103/H103)</f>
        <v>0.1157007847706102</v>
      </c>
      <c r="O103" s="26"/>
      <c r="P103" s="33">
        <f>SUM(P100:P102)</f>
        <v>-308732.13</v>
      </c>
      <c r="Q103" s="13"/>
      <c r="R103" s="30">
        <f>IF(P$12=0,0,P103/P$12)</f>
        <v>-8.7350845633421539</v>
      </c>
      <c r="S103" s="13"/>
      <c r="T103" s="33">
        <f>SUM(T100:T102)</f>
        <v>-239594.67392954614</v>
      </c>
      <c r="U103" s="13"/>
      <c r="V103" s="30">
        <f>IF(T$12=0,0,T103/T$12)</f>
        <v>-3.1039600198153408</v>
      </c>
      <c r="W103" s="16"/>
      <c r="X103" s="33">
        <f>+P103-T103</f>
        <v>-69137.45607045386</v>
      </c>
      <c r="Y103" s="16"/>
      <c r="Z103" s="30">
        <f>IF(T103=0,0,X103/T103)</f>
        <v>0.28856007079182416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5">
        <v>44174.679974189814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7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3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6747.53</v>
      </c>
      <c r="E21" s="19"/>
      <c r="F21" s="35">
        <f t="shared" ref="F21:F30" si="14">IF(D$12=0,0,D21/D$12)</f>
        <v>0</v>
      </c>
      <c r="G21" s="19"/>
      <c r="H21" s="19">
        <f>SUM(OSRRefH22x_0)</f>
        <v>6745</v>
      </c>
      <c r="I21" s="19"/>
      <c r="J21" s="35">
        <f t="shared" ref="J21:J30" si="15">IF(H$12=0,0,H21/H$12)</f>
        <v>0</v>
      </c>
      <c r="K21" s="4"/>
      <c r="L21" s="19">
        <f t="shared" ref="L21:L30" si="16">+D21-H21</f>
        <v>2.5299999999997453</v>
      </c>
      <c r="M21" s="4"/>
      <c r="N21" s="35">
        <f t="shared" ref="N21:N30" si="17">IF(H21=0,0,L21/H21)</f>
        <v>3.750926612305034E-4</v>
      </c>
      <c r="O21" s="10"/>
      <c r="P21" s="19">
        <f>SUM(OSRRefP22x_0)</f>
        <v>45337.62000000001</v>
      </c>
      <c r="Q21" s="19"/>
      <c r="R21" s="35">
        <f t="shared" ref="R21:R30" si="18">IF(P$12=0,0,P21/P$12)</f>
        <v>0</v>
      </c>
      <c r="S21" s="19"/>
      <c r="T21" s="19">
        <f>SUM(OSRRefT22x_0)</f>
        <v>35024</v>
      </c>
      <c r="U21" s="19"/>
      <c r="V21" s="35">
        <f t="shared" ref="V21:V30" si="19">IF(T$12=0,0,T21/T$12)</f>
        <v>0</v>
      </c>
      <c r="W21" s="4"/>
      <c r="X21" s="19">
        <f t="shared" ref="X21:X30" si="20">+P21-T21</f>
        <v>10313.62000000001</v>
      </c>
      <c r="Y21" s="4"/>
      <c r="Z21" s="35">
        <f t="shared" ref="Z21:Z30" si="21">IF(T21=0,0,X21/T21)</f>
        <v>0.2944729328460487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2.36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2.36</v>
      </c>
      <c r="M22" s="1"/>
      <c r="N22" s="5">
        <f t="shared" si="17"/>
        <v>0</v>
      </c>
      <c r="O22" s="14"/>
      <c r="P22" s="1">
        <f>SUM(OSRRefP22_0x_0)</f>
        <v>6086.32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6086.32</v>
      </c>
      <c r="Y22" s="1"/>
      <c r="Z22" s="5">
        <f t="shared" si="21"/>
        <v>0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>
        <v>2.36</v>
      </c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2.36</v>
      </c>
      <c r="M23" s="2"/>
      <c r="N23" s="7">
        <f t="shared" si="17"/>
        <v>0</v>
      </c>
      <c r="O23" s="11"/>
      <c r="P23" s="6">
        <v>237.51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237.51</v>
      </c>
      <c r="Y23" s="2"/>
      <c r="Z23" s="7">
        <f t="shared" si="21"/>
        <v>0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4780.67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4780.67</v>
      </c>
      <c r="Y25" s="2"/>
      <c r="Z25" s="7">
        <f t="shared" si="21"/>
        <v>0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678.15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678.15</v>
      </c>
      <c r="Y27" s="2"/>
      <c r="Z27" s="7">
        <f t="shared" si="21"/>
        <v>0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248.21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248.21</v>
      </c>
      <c r="Y29" s="2"/>
      <c r="Z29" s="7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141.78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141.78</v>
      </c>
      <c r="Y30" s="2"/>
      <c r="Z30" s="7">
        <f t="shared" si="21"/>
        <v>0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>
        <v>2151.69</v>
      </c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2151.69</v>
      </c>
      <c r="Y33" s="2"/>
      <c r="Z33" s="7">
        <f t="shared" si="29"/>
        <v>0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9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6745.17</v>
      </c>
      <c r="E46" s="1"/>
      <c r="F46" s="5">
        <f t="shared" si="30"/>
        <v>0</v>
      </c>
      <c r="G46" s="1"/>
      <c r="H46" s="1">
        <f>SUM(OSRRefH22_4x_0)</f>
        <v>6745</v>
      </c>
      <c r="I46" s="1"/>
      <c r="J46" s="5">
        <f t="shared" si="31"/>
        <v>0</v>
      </c>
      <c r="K46" s="1"/>
      <c r="L46" s="1">
        <f t="shared" si="32"/>
        <v>0.17000000000007276</v>
      </c>
      <c r="M46" s="1"/>
      <c r="N46" s="5">
        <f t="shared" si="33"/>
        <v>2.5203854707201298E-5</v>
      </c>
      <c r="O46" s="14"/>
      <c r="P46" s="1">
        <f>SUM(OSRRefP22_4x_0)</f>
        <v>35023</v>
      </c>
      <c r="Q46" s="1"/>
      <c r="R46" s="5">
        <f t="shared" si="34"/>
        <v>0</v>
      </c>
      <c r="S46" s="1"/>
      <c r="T46" s="1">
        <f>SUM(OSRRefT22_4x_0)</f>
        <v>35024</v>
      </c>
      <c r="U46" s="1"/>
      <c r="V46" s="5">
        <f t="shared" si="35"/>
        <v>0</v>
      </c>
      <c r="W46" s="1"/>
      <c r="X46" s="1">
        <f t="shared" si="36"/>
        <v>-1</v>
      </c>
      <c r="Y46" s="1"/>
      <c r="Z46" s="5">
        <f t="shared" si="37"/>
        <v>-2.8551850159890361E-5</v>
      </c>
    </row>
    <row r="47" spans="1:26" s="24" customFormat="1" hidden="1" outlineLevel="2" x14ac:dyDescent="0.25">
      <c r="A47" s="28"/>
      <c r="B47" s="11" t="str">
        <f>CONCATENATE("          ", "6321", " - ", "BUILDING DEPRECIATION")</f>
        <v xml:space="preserve">          6321 - BUILDING DEPRECIATION</v>
      </c>
      <c r="C47" s="11"/>
      <c r="D47" s="6">
        <v>6537.05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6537.05</v>
      </c>
      <c r="M47" s="2"/>
      <c r="N47" s="7">
        <f t="shared" si="33"/>
        <v>0</v>
      </c>
      <c r="O47" s="11"/>
      <c r="P47" s="6">
        <v>32685.25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32685.25</v>
      </c>
      <c r="Y47" s="2"/>
      <c r="Z47" s="7">
        <f t="shared" si="37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208.12</v>
      </c>
      <c r="E48" s="2"/>
      <c r="F48" s="7">
        <f t="shared" si="30"/>
        <v>0</v>
      </c>
      <c r="G48" s="2"/>
      <c r="H48" s="6">
        <v>6745</v>
      </c>
      <c r="I48" s="2"/>
      <c r="J48" s="7">
        <f t="shared" si="31"/>
        <v>0</v>
      </c>
      <c r="K48" s="2"/>
      <c r="L48" s="6">
        <f t="shared" si="32"/>
        <v>-6536.88</v>
      </c>
      <c r="M48" s="2"/>
      <c r="N48" s="7">
        <f t="shared" si="33"/>
        <v>-0.96914455151964418</v>
      </c>
      <c r="O48" s="11"/>
      <c r="P48" s="6">
        <v>2337.75</v>
      </c>
      <c r="Q48" s="2"/>
      <c r="R48" s="7">
        <f t="shared" si="34"/>
        <v>0</v>
      </c>
      <c r="S48" s="2"/>
      <c r="T48" s="6">
        <v>35024</v>
      </c>
      <c r="U48" s="2"/>
      <c r="V48" s="7">
        <f t="shared" si="35"/>
        <v>0</v>
      </c>
      <c r="W48" s="2"/>
      <c r="X48" s="6">
        <f t="shared" si="36"/>
        <v>-32686.25</v>
      </c>
      <c r="Y48" s="2"/>
      <c r="Z48" s="7">
        <f t="shared" si="37"/>
        <v>-0.93325291228871632</v>
      </c>
    </row>
    <row r="49" spans="1:26" s="29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8"/>
        <v>0</v>
      </c>
      <c r="G50" s="2"/>
      <c r="H50" s="6">
        <v>0</v>
      </c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/>
      <c r="Q50" s="2"/>
      <c r="R50" s="7">
        <f t="shared" si="42"/>
        <v>0</v>
      </c>
      <c r="S50" s="2"/>
      <c r="T50" s="6">
        <v>0</v>
      </c>
      <c r="U50" s="2"/>
      <c r="V50" s="7">
        <f t="shared" si="43"/>
        <v>0</v>
      </c>
      <c r="W50" s="2"/>
      <c r="X50" s="6">
        <f t="shared" si="44"/>
        <v>0</v>
      </c>
      <c r="Y50" s="2"/>
      <c r="Z50" s="7">
        <f t="shared" si="45"/>
        <v>0</v>
      </c>
    </row>
    <row r="51" spans="1:26" s="29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263.72000000000003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263.72000000000003</v>
      </c>
      <c r="Y52" s="2"/>
      <c r="Z52" s="7">
        <f t="shared" si="45"/>
        <v>0</v>
      </c>
    </row>
    <row r="53" spans="1:26" s="29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1284.55</v>
      </c>
      <c r="Q54" s="2"/>
      <c r="R54" s="7">
        <f t="shared" si="42"/>
        <v>0</v>
      </c>
      <c r="S54" s="2"/>
      <c r="T54" s="6">
        <v>0</v>
      </c>
      <c r="U54" s="2"/>
      <c r="V54" s="7">
        <f t="shared" si="43"/>
        <v>0</v>
      </c>
      <c r="W54" s="2"/>
      <c r="X54" s="6">
        <f t="shared" si="44"/>
        <v>1284.55</v>
      </c>
      <c r="Y54" s="2"/>
      <c r="Z54" s="7">
        <f t="shared" si="45"/>
        <v>0</v>
      </c>
    </row>
    <row r="55" spans="1:26" s="29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277.47000000000003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277.47000000000003</v>
      </c>
      <c r="Y55" s="1"/>
      <c r="Z55" s="5">
        <f t="shared" si="45"/>
        <v>0</v>
      </c>
    </row>
    <row r="56" spans="1:26" s="24" customFormat="1" hidden="1" outlineLevel="2" x14ac:dyDescent="0.25">
      <c r="A56" s="28"/>
      <c r="B56" s="11" t="str">
        <f>CONCATENATE("          ", "6372", " - ", "COMPUTER HARDWARE MAINTENANCE")</f>
        <v xml:space="preserve">          6372 - COMPUTER HARDWARE MAINTENANCE</v>
      </c>
      <c r="C56" s="11"/>
      <c r="D56" s="6"/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/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0</v>
      </c>
      <c r="Y56" s="2"/>
      <c r="Z56" s="7">
        <f t="shared" si="45"/>
        <v>0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277.47000000000003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277.47000000000003</v>
      </c>
      <c r="Y57" s="2"/>
      <c r="Z57" s="7">
        <f t="shared" si="45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8"/>
        <v>0</v>
      </c>
      <c r="G58" s="2"/>
      <c r="H58" s="6">
        <v>0</v>
      </c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0</v>
      </c>
      <c r="U58" s="2"/>
      <c r="V58" s="7">
        <f t="shared" si="43"/>
        <v>0</v>
      </c>
      <c r="W58" s="2"/>
      <c r="X58" s="6">
        <f t="shared" si="44"/>
        <v>0</v>
      </c>
      <c r="Y58" s="2"/>
      <c r="Z58" s="7">
        <f t="shared" si="45"/>
        <v>0</v>
      </c>
    </row>
    <row r="59" spans="1:26" s="29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46"/>
        <v>0</v>
      </c>
      <c r="G60" s="2"/>
      <c r="H60" s="6">
        <v>0</v>
      </c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0</v>
      </c>
      <c r="U60" s="2"/>
      <c r="V60" s="7">
        <f t="shared" si="51"/>
        <v>0</v>
      </c>
      <c r="W60" s="2"/>
      <c r="X60" s="6">
        <f t="shared" si="52"/>
        <v>0</v>
      </c>
      <c r="Y60" s="2"/>
      <c r="Z60" s="7">
        <f t="shared" si="53"/>
        <v>0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9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74" si="54">IF(D$12=0,0,D62/D$12)</f>
        <v>0</v>
      </c>
      <c r="G62" s="1"/>
      <c r="H62" s="1">
        <f>SUM(OSRRefH22_10x_0)</f>
        <v>0</v>
      </c>
      <c r="I62" s="1"/>
      <c r="J62" s="5">
        <f t="shared" ref="J62:J74" si="55">IF(H$12=0,0,H62/H$12)</f>
        <v>0</v>
      </c>
      <c r="K62" s="1"/>
      <c r="L62" s="1">
        <f t="shared" ref="L62:L74" si="56">+D62-H62</f>
        <v>0</v>
      </c>
      <c r="M62" s="1"/>
      <c r="N62" s="5">
        <f t="shared" ref="N62:N74" si="57">IF(H62=0,0,L62/H62)</f>
        <v>0</v>
      </c>
      <c r="O62" s="14"/>
      <c r="P62" s="1">
        <f>SUM(OSRRefP22_10x_0)</f>
        <v>0</v>
      </c>
      <c r="Q62" s="1"/>
      <c r="R62" s="5">
        <f t="shared" ref="R62:R74" si="58">IF(P$12=0,0,P62/P$12)</f>
        <v>0</v>
      </c>
      <c r="S62" s="1"/>
      <c r="T62" s="1">
        <f>SUM(OSRRefT22_10x_0)</f>
        <v>0</v>
      </c>
      <c r="U62" s="1"/>
      <c r="V62" s="5">
        <f t="shared" ref="V62:V74" si="59">IF(T$12=0,0,T62/T$12)</f>
        <v>0</v>
      </c>
      <c r="W62" s="1"/>
      <c r="X62" s="1">
        <f t="shared" ref="X62:X74" si="60">+P62-T62</f>
        <v>0</v>
      </c>
      <c r="Y62" s="1"/>
      <c r="Z62" s="5">
        <f t="shared" ref="Z62:Z74" si="61">IF(T62=0,0,X62/T62)</f>
        <v>0</v>
      </c>
    </row>
    <row r="63" spans="1:26" s="24" customFormat="1" hidden="1" outlineLevel="2" x14ac:dyDescent="0.25">
      <c r="A63" s="28"/>
      <c r="B63" s="11" t="str">
        <f>CONCATENATE("          ", "6275", " - ", "SUBSCRIPTIONS")</f>
        <v xml:space="preserve">          6275 - SUBSCRIPTIONS</v>
      </c>
      <c r="C63" s="11"/>
      <c r="D63" s="6"/>
      <c r="E63" s="2"/>
      <c r="F63" s="7">
        <f t="shared" si="54"/>
        <v>0</v>
      </c>
      <c r="G63" s="2"/>
      <c r="H63" s="6">
        <v>0</v>
      </c>
      <c r="I63" s="2"/>
      <c r="J63" s="7">
        <f t="shared" si="55"/>
        <v>0</v>
      </c>
      <c r="K63" s="2"/>
      <c r="L63" s="6">
        <f t="shared" si="56"/>
        <v>0</v>
      </c>
      <c r="M63" s="2"/>
      <c r="N63" s="7">
        <f t="shared" si="57"/>
        <v>0</v>
      </c>
      <c r="O63" s="11"/>
      <c r="P63" s="6"/>
      <c r="Q63" s="2"/>
      <c r="R63" s="7">
        <f t="shared" si="58"/>
        <v>0</v>
      </c>
      <c r="S63" s="2"/>
      <c r="T63" s="6">
        <v>0</v>
      </c>
      <c r="U63" s="2"/>
      <c r="V63" s="7">
        <f t="shared" si="59"/>
        <v>0</v>
      </c>
      <c r="W63" s="2"/>
      <c r="X63" s="6">
        <f t="shared" si="60"/>
        <v>0</v>
      </c>
      <c r="Y63" s="2"/>
      <c r="Z63" s="7">
        <f t="shared" si="61"/>
        <v>0</v>
      </c>
    </row>
    <row r="64" spans="1:26" s="29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si="54"/>
        <v>0</v>
      </c>
      <c r="G64" s="1"/>
      <c r="H64" s="1">
        <f>SUM(OSRRefH22_11x_0)</f>
        <v>0</v>
      </c>
      <c r="I64" s="1"/>
      <c r="J64" s="5">
        <f t="shared" si="55"/>
        <v>0</v>
      </c>
      <c r="K64" s="1"/>
      <c r="L64" s="1">
        <f t="shared" si="56"/>
        <v>0</v>
      </c>
      <c r="M64" s="1"/>
      <c r="N64" s="5">
        <f t="shared" si="57"/>
        <v>0</v>
      </c>
      <c r="O64" s="14"/>
      <c r="P64" s="1">
        <f>SUM(OSRRefP22_11x_0)</f>
        <v>0</v>
      </c>
      <c r="Q64" s="1"/>
      <c r="R64" s="5">
        <f t="shared" si="58"/>
        <v>0</v>
      </c>
      <c r="S64" s="1"/>
      <c r="T64" s="1">
        <f>SUM(OSRRefT22_11x_0)</f>
        <v>0</v>
      </c>
      <c r="U64" s="1"/>
      <c r="V64" s="5">
        <f t="shared" si="59"/>
        <v>0</v>
      </c>
      <c r="W64" s="1"/>
      <c r="X64" s="1">
        <f t="shared" si="60"/>
        <v>0</v>
      </c>
      <c r="Y64" s="1"/>
      <c r="Z64" s="5">
        <f t="shared" si="61"/>
        <v>0</v>
      </c>
    </row>
    <row r="65" spans="1:26" s="24" customFormat="1" hidden="1" outlineLevel="2" x14ac:dyDescent="0.25">
      <c r="A65" s="28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/>
      <c r="Q65" s="2"/>
      <c r="R65" s="7">
        <f t="shared" si="58"/>
        <v>0</v>
      </c>
      <c r="S65" s="2"/>
      <c r="T65" s="6">
        <v>0</v>
      </c>
      <c r="U65" s="2"/>
      <c r="V65" s="7">
        <f t="shared" si="59"/>
        <v>0</v>
      </c>
      <c r="W65" s="2"/>
      <c r="X65" s="6">
        <f t="shared" si="60"/>
        <v>0</v>
      </c>
      <c r="Y65" s="2"/>
      <c r="Z65" s="7">
        <f t="shared" si="61"/>
        <v>0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54"/>
        <v>0</v>
      </c>
      <c r="G67" s="2"/>
      <c r="H67" s="6">
        <v>0</v>
      </c>
      <c r="I67" s="2"/>
      <c r="J67" s="7">
        <f t="shared" si="55"/>
        <v>0</v>
      </c>
      <c r="K67" s="2"/>
      <c r="L67" s="6">
        <f t="shared" si="56"/>
        <v>0</v>
      </c>
      <c r="M67" s="2"/>
      <c r="N67" s="7">
        <f t="shared" si="57"/>
        <v>0</v>
      </c>
      <c r="O67" s="11"/>
      <c r="P67" s="6"/>
      <c r="Q67" s="2"/>
      <c r="R67" s="7">
        <f t="shared" si="58"/>
        <v>0</v>
      </c>
      <c r="S67" s="2"/>
      <c r="T67" s="6">
        <v>0</v>
      </c>
      <c r="U67" s="2"/>
      <c r="V67" s="7">
        <f t="shared" si="59"/>
        <v>0</v>
      </c>
      <c r="W67" s="2"/>
      <c r="X67" s="6">
        <f t="shared" si="60"/>
        <v>0</v>
      </c>
      <c r="Y67" s="2"/>
      <c r="Z67" s="7">
        <f t="shared" si="61"/>
        <v>0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8"/>
      <c r="B71" s="11" t="str">
        <f>CONCATENATE("          ", "6244", " - ", "SAFETY SUPPLY EXPENSE")</f>
        <v xml:space="preserve">          6244 - SAFETY SUPPLY EXPENSE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8"/>
      <c r="B73" s="11" t="str">
        <f>CONCATENATE("          ", "6246", " - ", "REPLACEMENTS")</f>
        <v xml:space="preserve">          6246 - REPLACEMENTS</v>
      </c>
      <c r="C73" s="11"/>
      <c r="D73" s="6"/>
      <c r="E73" s="2"/>
      <c r="F73" s="7">
        <f t="shared" si="54"/>
        <v>0</v>
      </c>
      <c r="G73" s="2"/>
      <c r="H73" s="6"/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8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4"/>
        <v>0</v>
      </c>
      <c r="G74" s="2"/>
      <c r="H74" s="6"/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9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0</v>
      </c>
      <c r="E75" s="1"/>
      <c r="F75" s="5">
        <f t="shared" ref="F75:F77" si="62">IF(D$12=0,0,D75/D$12)</f>
        <v>0</v>
      </c>
      <c r="G75" s="1"/>
      <c r="H75" s="1">
        <f>SUM(OSRRefH22_12x_0)</f>
        <v>0</v>
      </c>
      <c r="I75" s="1"/>
      <c r="J75" s="5">
        <f t="shared" ref="J75:J77" si="63">IF(H$12=0,0,H75/H$12)</f>
        <v>0</v>
      </c>
      <c r="K75" s="1"/>
      <c r="L75" s="1">
        <f t="shared" ref="L75:L77" si="64">+D75-H75</f>
        <v>0</v>
      </c>
      <c r="M75" s="1"/>
      <c r="N75" s="5">
        <f t="shared" ref="N75:N77" si="65">IF(H75=0,0,L75/H75)</f>
        <v>0</v>
      </c>
      <c r="O75" s="14"/>
      <c r="P75" s="1">
        <f>SUM(OSRRefP22_12x_0)</f>
        <v>250.87</v>
      </c>
      <c r="Q75" s="1"/>
      <c r="R75" s="5">
        <f t="shared" ref="R75:R77" si="66">IF(P$12=0,0,P75/P$12)</f>
        <v>0</v>
      </c>
      <c r="S75" s="1"/>
      <c r="T75" s="1">
        <f>SUM(OSRRefT22_12x_0)</f>
        <v>0</v>
      </c>
      <c r="U75" s="1"/>
      <c r="V75" s="5">
        <f t="shared" ref="V75:V77" si="67">IF(T$12=0,0,T75/T$12)</f>
        <v>0</v>
      </c>
      <c r="W75" s="1"/>
      <c r="X75" s="1">
        <f t="shared" ref="X75:X77" si="68">+P75-T75</f>
        <v>250.87</v>
      </c>
      <c r="Y75" s="1"/>
      <c r="Z75" s="5">
        <f t="shared" ref="Z75:Z77" si="69">IF(T75=0,0,X75/T75)</f>
        <v>0</v>
      </c>
    </row>
    <row r="76" spans="1:26" s="24" customFormat="1" hidden="1" outlineLevel="2" x14ac:dyDescent="0.25">
      <c r="A76" s="28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2"/>
        <v>0</v>
      </c>
      <c r="G76" s="2"/>
      <c r="H76" s="6">
        <v>0</v>
      </c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/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0</v>
      </c>
      <c r="Y76" s="2"/>
      <c r="Z76" s="7">
        <f t="shared" si="69"/>
        <v>0</v>
      </c>
    </row>
    <row r="77" spans="1:26" s="24" customFormat="1" hidden="1" outlineLevel="2" x14ac:dyDescent="0.25">
      <c r="A77" s="28"/>
      <c r="B77" s="11" t="str">
        <f>CONCATENATE("          ", "6309", " - ", "TELEPHONE")</f>
        <v xml:space="preserve">          6309 - TELEPHONE</v>
      </c>
      <c r="C77" s="11"/>
      <c r="D77" s="6"/>
      <c r="E77" s="2"/>
      <c r="F77" s="7">
        <f t="shared" si="62"/>
        <v>0</v>
      </c>
      <c r="G77" s="2"/>
      <c r="H77" s="6"/>
      <c r="I77" s="2"/>
      <c r="J77" s="7">
        <f t="shared" si="63"/>
        <v>0</v>
      </c>
      <c r="K77" s="2"/>
      <c r="L77" s="6">
        <f t="shared" si="64"/>
        <v>0</v>
      </c>
      <c r="M77" s="2"/>
      <c r="N77" s="7">
        <f t="shared" si="65"/>
        <v>0</v>
      </c>
      <c r="O77" s="11"/>
      <c r="P77" s="6">
        <v>250.87</v>
      </c>
      <c r="Q77" s="2"/>
      <c r="R77" s="7">
        <f t="shared" si="66"/>
        <v>0</v>
      </c>
      <c r="S77" s="2"/>
      <c r="T77" s="6"/>
      <c r="U77" s="2"/>
      <c r="V77" s="7">
        <f t="shared" si="67"/>
        <v>0</v>
      </c>
      <c r="W77" s="2"/>
      <c r="X77" s="6">
        <f t="shared" si="68"/>
        <v>250.87</v>
      </c>
      <c r="Y77" s="2"/>
      <c r="Z77" s="7">
        <f t="shared" si="69"/>
        <v>0</v>
      </c>
    </row>
    <row r="78" spans="1:26" s="29" customFormat="1" outlineLevel="1" collapsed="1" x14ac:dyDescent="0.25">
      <c r="A78" s="27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70">IF(D$12=0,0,D78/D$12)</f>
        <v>0</v>
      </c>
      <c r="G78" s="1"/>
      <c r="H78" s="1">
        <f>SUM(OSRRefH22_13x_0)</f>
        <v>0</v>
      </c>
      <c r="I78" s="1"/>
      <c r="J78" s="5">
        <f t="shared" ref="J78:J79" si="71">IF(H$12=0,0,H78/H$12)</f>
        <v>0</v>
      </c>
      <c r="K78" s="1"/>
      <c r="L78" s="1">
        <f t="shared" ref="L78:L79" si="72">+D78-H78</f>
        <v>0</v>
      </c>
      <c r="M78" s="1"/>
      <c r="N78" s="5">
        <f t="shared" ref="N78:N79" si="73">IF(H78=0,0,L78/H78)</f>
        <v>0</v>
      </c>
      <c r="O78" s="14"/>
      <c r="P78" s="1">
        <f>SUM(OSRRefP22_13x_0)</f>
        <v>0</v>
      </c>
      <c r="Q78" s="1"/>
      <c r="R78" s="5">
        <f t="shared" ref="R78:R79" si="74">IF(P$12=0,0,P78/P$12)</f>
        <v>0</v>
      </c>
      <c r="S78" s="1"/>
      <c r="T78" s="1">
        <f>SUM(OSRRefT22_13x_0)</f>
        <v>0</v>
      </c>
      <c r="U78" s="1"/>
      <c r="V78" s="5">
        <f t="shared" ref="V78:V79" si="75">IF(T$12=0,0,T78/T$12)</f>
        <v>0</v>
      </c>
      <c r="W78" s="1"/>
      <c r="X78" s="1">
        <f t="shared" ref="X78:X79" si="76">+P78-T78</f>
        <v>0</v>
      </c>
      <c r="Y78" s="1"/>
      <c r="Z78" s="5">
        <f t="shared" ref="Z78:Z79" si="77">IF(T78=0,0,X78/T78)</f>
        <v>0</v>
      </c>
    </row>
    <row r="79" spans="1:26" s="24" customFormat="1" hidden="1" outlineLevel="2" x14ac:dyDescent="0.25">
      <c r="A79" s="28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70"/>
        <v>0</v>
      </c>
      <c r="G79" s="2"/>
      <c r="H79" s="6">
        <v>0</v>
      </c>
      <c r="I79" s="2"/>
      <c r="J79" s="7">
        <f t="shared" si="71"/>
        <v>0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/>
      <c r="Q79" s="2"/>
      <c r="R79" s="7">
        <f t="shared" si="74"/>
        <v>0</v>
      </c>
      <c r="S79" s="2"/>
      <c r="T79" s="6">
        <v>0</v>
      </c>
      <c r="U79" s="2"/>
      <c r="V79" s="7">
        <f t="shared" si="75"/>
        <v>0</v>
      </c>
      <c r="W79" s="2"/>
      <c r="X79" s="6">
        <f t="shared" si="76"/>
        <v>0</v>
      </c>
      <c r="Y79" s="2"/>
      <c r="Z79" s="7">
        <f t="shared" si="77"/>
        <v>0</v>
      </c>
    </row>
    <row r="80" spans="1:26" s="62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6" t="s">
        <v>0</v>
      </c>
      <c r="C81" s="10"/>
      <c r="D81" s="4">
        <f>SUM(OSRRefD25x_0)</f>
        <v>0</v>
      </c>
      <c r="E81" s="4"/>
      <c r="F81" s="12">
        <f t="shared" ref="F81:F82" si="78">IF(D$12=0,0,D81/D$12)</f>
        <v>0</v>
      </c>
      <c r="G81" s="4"/>
      <c r="H81" s="4">
        <f>SUM(OSRRefH25x_0)</f>
        <v>0</v>
      </c>
      <c r="I81" s="4"/>
      <c r="J81" s="12">
        <f t="shared" ref="J81:J82" si="79">IF(H$12=0,0,H81/H$12)</f>
        <v>0</v>
      </c>
      <c r="K81" s="4"/>
      <c r="L81" s="4">
        <f t="shared" ref="L81:L82" si="80">+D81-H81</f>
        <v>0</v>
      </c>
      <c r="M81" s="4"/>
      <c r="N81" s="12">
        <f t="shared" ref="N81:N82" si="81">IF(H81=0,0,L81/H81)</f>
        <v>0</v>
      </c>
      <c r="O81" s="10"/>
      <c r="P81" s="4">
        <f>SUM(OSRRefP25x_0)</f>
        <v>111.42</v>
      </c>
      <c r="Q81" s="4"/>
      <c r="R81" s="12">
        <f t="shared" ref="R81:R82" si="82">IF(P$12=0,0,P81/P$12)</f>
        <v>0</v>
      </c>
      <c r="S81" s="4"/>
      <c r="T81" s="4">
        <f>SUM(OSRRefT25x_0)</f>
        <v>0</v>
      </c>
      <c r="U81" s="4"/>
      <c r="V81" s="12">
        <f t="shared" ref="V81:V82" si="83">IF(T$12=0,0,T81/T$12)</f>
        <v>0</v>
      </c>
      <c r="W81" s="4"/>
      <c r="X81" s="4">
        <f t="shared" ref="X81:X82" si="84">+P81-T81</f>
        <v>111.42</v>
      </c>
      <c r="Y81" s="4"/>
      <c r="Z81" s="12">
        <f t="shared" ref="Z81:Z82" si="85">IF(T81=0,0,X81/T81)</f>
        <v>0</v>
      </c>
    </row>
    <row r="82" spans="1:26" s="24" customFormat="1" hidden="1" outlineLevel="1" x14ac:dyDescent="0.25">
      <c r="A82" s="51"/>
      <c r="B82" s="11" t="str">
        <f>CONCATENATE("          ", "9150", " - ", "MISC. INCOME")</f>
        <v xml:space="preserve">          9150 - MISC. INCOME</v>
      </c>
      <c r="C82" s="11"/>
      <c r="D82" s="2">
        <f>0</f>
        <v>0</v>
      </c>
      <c r="E82" s="2"/>
      <c r="F82" s="22">
        <f t="shared" si="78"/>
        <v>0</v>
      </c>
      <c r="G82" s="2"/>
      <c r="H82" s="2"/>
      <c r="I82" s="2"/>
      <c r="J82" s="22">
        <f t="shared" si="79"/>
        <v>0</v>
      </c>
      <c r="K82" s="2"/>
      <c r="L82" s="2">
        <f t="shared" si="80"/>
        <v>0</v>
      </c>
      <c r="M82" s="2"/>
      <c r="N82" s="22">
        <f t="shared" si="81"/>
        <v>0</v>
      </c>
      <c r="O82" s="11"/>
      <c r="P82" s="2">
        <f>--111.42</f>
        <v>111.42</v>
      </c>
      <c r="Q82" s="2"/>
      <c r="R82" s="22">
        <f t="shared" si="82"/>
        <v>0</v>
      </c>
      <c r="S82" s="2"/>
      <c r="T82" s="2"/>
      <c r="U82" s="2"/>
      <c r="V82" s="22">
        <f t="shared" si="83"/>
        <v>0</v>
      </c>
      <c r="W82" s="2"/>
      <c r="X82" s="2">
        <f t="shared" si="84"/>
        <v>111.42</v>
      </c>
      <c r="Y82" s="2"/>
      <c r="Z82" s="22">
        <f t="shared" si="85"/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3</v>
      </c>
      <c r="C84" s="25"/>
      <c r="D84" s="21">
        <f>+D19-D21+D81</f>
        <v>-6747.53</v>
      </c>
      <c r="E84" s="13"/>
      <c r="F84" s="20">
        <f>IF(D$12=0,0,D84/D$12)</f>
        <v>0</v>
      </c>
      <c r="G84" s="13"/>
      <c r="H84" s="21">
        <f>+H19-H21+H81</f>
        <v>-6745</v>
      </c>
      <c r="I84" s="13"/>
      <c r="J84" s="20">
        <f>IF(H$12=0,0,H84/H$12)</f>
        <v>0</v>
      </c>
      <c r="K84" s="16"/>
      <c r="L84" s="21">
        <f>+D84-H84</f>
        <v>-2.5299999999997453</v>
      </c>
      <c r="M84" s="16"/>
      <c r="N84" s="20">
        <f>IF(H84=0,0,L84/H84)</f>
        <v>3.750926612305034E-4</v>
      </c>
      <c r="O84" s="26"/>
      <c r="P84" s="21">
        <f>+P19-P21+P81</f>
        <v>-45226.200000000012</v>
      </c>
      <c r="Q84" s="13"/>
      <c r="R84" s="20">
        <f>IF(P$12=0,0,P84/P$12)</f>
        <v>0</v>
      </c>
      <c r="S84" s="13"/>
      <c r="T84" s="21">
        <f>+T19-T21+T81</f>
        <v>-35024</v>
      </c>
      <c r="U84" s="13"/>
      <c r="V84" s="20">
        <f>IF(T$12=0,0,T84/T$12)</f>
        <v>0</v>
      </c>
      <c r="W84" s="16"/>
      <c r="X84" s="21">
        <f>+P84-T84</f>
        <v>-10202.200000000012</v>
      </c>
      <c r="Y84" s="16"/>
      <c r="Z84" s="20">
        <f>IF(T84=0,0,X84/T84)</f>
        <v>0.29129168570123376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4</v>
      </c>
      <c r="C88" s="25"/>
      <c r="D88" s="31">
        <f>+D84-D86</f>
        <v>-6747.53</v>
      </c>
      <c r="E88" s="13"/>
      <c r="F88" s="34">
        <f>IF(D$12=0,0,D88/D$12)</f>
        <v>0</v>
      </c>
      <c r="G88" s="13"/>
      <c r="H88" s="31">
        <f>+H84-H86</f>
        <v>-6745</v>
      </c>
      <c r="I88" s="13"/>
      <c r="J88" s="34">
        <f>IF(H$12=0,0,H88/H$12)</f>
        <v>0</v>
      </c>
      <c r="K88" s="16"/>
      <c r="L88" s="31">
        <f>D88-H88</f>
        <v>-2.5299999999997453</v>
      </c>
      <c r="M88" s="16"/>
      <c r="N88" s="34">
        <f>IF(H88=0,0,L88/H88)</f>
        <v>3.750926612305034E-4</v>
      </c>
      <c r="O88" s="26"/>
      <c r="P88" s="31">
        <f>+P84-P86</f>
        <v>-45226.200000000012</v>
      </c>
      <c r="Q88" s="13"/>
      <c r="R88" s="34">
        <f>IF(P$12=0,0,P88/P$12)</f>
        <v>0</v>
      </c>
      <c r="S88" s="13"/>
      <c r="T88" s="31">
        <f>+T84-T86</f>
        <v>-35024</v>
      </c>
      <c r="U88" s="13"/>
      <c r="V88" s="34">
        <f>IF(T$12=0,0,T88/T$12)</f>
        <v>0</v>
      </c>
      <c r="W88" s="16"/>
      <c r="X88" s="31">
        <f>P88-T88</f>
        <v>-10202.200000000012</v>
      </c>
      <c r="Y88" s="16"/>
      <c r="Z88" s="34">
        <f>IF(T88=0,0,X88/T88)</f>
        <v>0.29129168570123376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5</v>
      </c>
      <c r="C91" s="25"/>
      <c r="D91" s="33">
        <f>SUM(D88:D90)</f>
        <v>-6747.53</v>
      </c>
      <c r="E91" s="13"/>
      <c r="F91" s="30">
        <f>IF(D$12=0,0,D91/D$12)</f>
        <v>0</v>
      </c>
      <c r="G91" s="13"/>
      <c r="H91" s="33">
        <f>SUM(H88:H90)</f>
        <v>-6745</v>
      </c>
      <c r="I91" s="13"/>
      <c r="J91" s="30">
        <f>IF(H$12=0,0,H91/H$12)</f>
        <v>0</v>
      </c>
      <c r="K91" s="16"/>
      <c r="L91" s="33">
        <f>+D91-H91</f>
        <v>-2.5299999999997453</v>
      </c>
      <c r="M91" s="16"/>
      <c r="N91" s="30">
        <f>IF(H91=0,0,L91/H91)</f>
        <v>3.750926612305034E-4</v>
      </c>
      <c r="O91" s="26"/>
      <c r="P91" s="33">
        <f>SUM(P88:P90)</f>
        <v>-45226.200000000012</v>
      </c>
      <c r="Q91" s="13"/>
      <c r="R91" s="30">
        <f>IF(P$12=0,0,P91/P$12)</f>
        <v>0</v>
      </c>
      <c r="S91" s="13"/>
      <c r="T91" s="33">
        <f>SUM(T88:T90)</f>
        <v>-35024</v>
      </c>
      <c r="U91" s="13"/>
      <c r="V91" s="30">
        <f>IF(T$12=0,0,T91/T$12)</f>
        <v>0</v>
      </c>
      <c r="W91" s="16"/>
      <c r="X91" s="33">
        <f>+P91-T91</f>
        <v>-10202.200000000012</v>
      </c>
      <c r="Y91" s="16"/>
      <c r="Z91" s="30">
        <f>IF(T91=0,0,X91/T91)</f>
        <v>0.29129168570123376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5">
        <v>44174.680006099537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7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55493.87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55493.87</v>
      </c>
      <c r="M12" s="4"/>
      <c r="N12" s="12">
        <f t="shared" ref="N12:N13" si="1">IF(H12=0,0,L12/H12)</f>
        <v>0</v>
      </c>
      <c r="O12" s="10"/>
      <c r="P12" s="4">
        <f>SUM(OSRRefP13x_0)</f>
        <v>85725.16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85725.16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"4052", " - ", "TAXABLE SALES-FOOD")</f>
        <v xml:space="preserve">          4052 - TAXABLE SALES-FOOD</v>
      </c>
      <c r="C13" s="11"/>
      <c r="D13" s="2">
        <f>--55493.87</f>
        <v>55493.87</v>
      </c>
      <c r="E13" s="2"/>
      <c r="F13" s="22"/>
      <c r="G13" s="2"/>
      <c r="H13" s="2"/>
      <c r="I13" s="2"/>
      <c r="J13" s="22"/>
      <c r="K13" s="2"/>
      <c r="L13" s="2">
        <f t="shared" si="0"/>
        <v>55493.87</v>
      </c>
      <c r="M13" s="2"/>
      <c r="N13" s="22">
        <f t="shared" si="1"/>
        <v>0</v>
      </c>
      <c r="O13" s="11"/>
      <c r="P13" s="2">
        <f>--85725.16</f>
        <v>85725.16</v>
      </c>
      <c r="Q13" s="2"/>
      <c r="R13" s="22"/>
      <c r="S13" s="2"/>
      <c r="T13" s="2"/>
      <c r="U13" s="2"/>
      <c r="V13" s="22"/>
      <c r="W13" s="2"/>
      <c r="X13" s="2">
        <f t="shared" si="2"/>
        <v>85725.16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55493.87</v>
      </c>
      <c r="E17" s="13"/>
      <c r="F17" s="20">
        <f>IF(D$12=0,0,D17/D$12)</f>
        <v>1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55493.87</v>
      </c>
      <c r="M17" s="16"/>
      <c r="N17" s="20">
        <f>IF(H17=0,0,L17/H17)</f>
        <v>0</v>
      </c>
      <c r="O17" s="26"/>
      <c r="P17" s="21">
        <f>P12-P15</f>
        <v>85725.16</v>
      </c>
      <c r="Q17" s="13"/>
      <c r="R17" s="20">
        <f>IF(P$12=0,0,P17/P$12)</f>
        <v>1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85725.16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7.86</v>
      </c>
      <c r="E19" s="19"/>
      <c r="F19" s="35">
        <f t="shared" ref="F19:F21" si="4">IF(D$12=0,0,D19/D$12)</f>
        <v>1.4163726552139902E-4</v>
      </c>
      <c r="G19" s="19"/>
      <c r="H19" s="19">
        <f>SUM(OSRRefH22x_0)</f>
        <v>0</v>
      </c>
      <c r="I19" s="19"/>
      <c r="J19" s="35">
        <f t="shared" ref="J19:J21" si="5">IF(H$12=0,0,H19/H$12)</f>
        <v>0</v>
      </c>
      <c r="K19" s="4"/>
      <c r="L19" s="19">
        <f t="shared" ref="L19:L21" si="6">+D19-H19</f>
        <v>7.86</v>
      </c>
      <c r="M19" s="4"/>
      <c r="N19" s="35">
        <f t="shared" ref="N19:N21" si="7">IF(H19=0,0,L19/H19)</f>
        <v>0</v>
      </c>
      <c r="O19" s="10"/>
      <c r="P19" s="19">
        <f>SUM(OSRRefP22x_0)</f>
        <v>7.86</v>
      </c>
      <c r="Q19" s="19"/>
      <c r="R19" s="35">
        <f t="shared" ref="R19:R21" si="8">IF(P$12=0,0,P19/P$12)</f>
        <v>9.1688367802404805E-5</v>
      </c>
      <c r="S19" s="19"/>
      <c r="T19" s="19">
        <f>SUM(OSRRefT22x_0)</f>
        <v>0</v>
      </c>
      <c r="U19" s="19"/>
      <c r="V19" s="35">
        <f t="shared" ref="V19:V21" si="9">IF(T$12=0,0,T19/T$12)</f>
        <v>0</v>
      </c>
      <c r="W19" s="4"/>
      <c r="X19" s="19">
        <f t="shared" ref="X19:X21" si="10">+P19-T19</f>
        <v>7.86</v>
      </c>
      <c r="Y19" s="4"/>
      <c r="Z19" s="35">
        <f t="shared" ref="Z19:Z21" si="11">IF(T19=0,0,X19/T19)</f>
        <v>0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7.86</v>
      </c>
      <c r="E20" s="1"/>
      <c r="F20" s="5">
        <f t="shared" si="4"/>
        <v>1.4163726552139902E-4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7.86</v>
      </c>
      <c r="M20" s="1"/>
      <c r="N20" s="5">
        <f t="shared" si="7"/>
        <v>0</v>
      </c>
      <c r="O20" s="14"/>
      <c r="P20" s="1">
        <f>SUM(OSRRefP22_0x_0)</f>
        <v>7.86</v>
      </c>
      <c r="Q20" s="1"/>
      <c r="R20" s="5">
        <f t="shared" si="8"/>
        <v>9.1688367802404805E-5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7.86</v>
      </c>
      <c r="Y20" s="1"/>
      <c r="Z20" s="5">
        <f t="shared" si="11"/>
        <v>0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7.86</v>
      </c>
      <c r="E21" s="2"/>
      <c r="F21" s="7">
        <f t="shared" si="4"/>
        <v>1.4163726552139902E-4</v>
      </c>
      <c r="G21" s="2"/>
      <c r="H21" s="6"/>
      <c r="I21" s="2"/>
      <c r="J21" s="7">
        <f t="shared" si="5"/>
        <v>0</v>
      </c>
      <c r="K21" s="2"/>
      <c r="L21" s="6">
        <f t="shared" si="6"/>
        <v>7.86</v>
      </c>
      <c r="M21" s="2"/>
      <c r="N21" s="7">
        <f t="shared" si="7"/>
        <v>0</v>
      </c>
      <c r="O21" s="11"/>
      <c r="P21" s="6">
        <v>7.86</v>
      </c>
      <c r="Q21" s="2"/>
      <c r="R21" s="7">
        <f t="shared" si="8"/>
        <v>9.1688367802404805E-5</v>
      </c>
      <c r="S21" s="2"/>
      <c r="T21" s="6"/>
      <c r="U21" s="2"/>
      <c r="V21" s="7">
        <f t="shared" si="9"/>
        <v>0</v>
      </c>
      <c r="W21" s="2"/>
      <c r="X21" s="6">
        <f t="shared" si="10"/>
        <v>7.86</v>
      </c>
      <c r="Y21" s="2"/>
      <c r="Z21" s="7">
        <f t="shared" si="11"/>
        <v>0</v>
      </c>
    </row>
    <row r="22" spans="1:26" s="62" customFormat="1" x14ac:dyDescent="0.2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0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3</v>
      </c>
      <c r="C25" s="25"/>
      <c r="D25" s="21">
        <f>+D17-D19+D23</f>
        <v>55486.01</v>
      </c>
      <c r="E25" s="13"/>
      <c r="F25" s="20">
        <f>IF(D$12=0,0,D25/D$12)</f>
        <v>0.99985836273447859</v>
      </c>
      <c r="G25" s="13"/>
      <c r="H25" s="21">
        <f>+H17-H19+H23</f>
        <v>0</v>
      </c>
      <c r="I25" s="13"/>
      <c r="J25" s="20">
        <f>IF(H$12=0,0,H25/H$12)</f>
        <v>0</v>
      </c>
      <c r="K25" s="16"/>
      <c r="L25" s="21">
        <f>+D25-H25</f>
        <v>55486.01</v>
      </c>
      <c r="M25" s="16"/>
      <c r="N25" s="20">
        <f>IF(H25=0,0,L25/H25)</f>
        <v>0</v>
      </c>
      <c r="O25" s="26"/>
      <c r="P25" s="21">
        <f>+P17-P19+P23</f>
        <v>85717.3</v>
      </c>
      <c r="Q25" s="13"/>
      <c r="R25" s="20">
        <f>IF(P$12=0,0,P25/P$12)</f>
        <v>0.99990831163219762</v>
      </c>
      <c r="S25" s="13"/>
      <c r="T25" s="21">
        <f>+T17-T19+T23</f>
        <v>0</v>
      </c>
      <c r="U25" s="13"/>
      <c r="V25" s="20">
        <f>IF(T$12=0,0,T25/T$12)</f>
        <v>0</v>
      </c>
      <c r="W25" s="16"/>
      <c r="X25" s="21">
        <f>+P25-T25</f>
        <v>85717.3</v>
      </c>
      <c r="Y25" s="16"/>
      <c r="Z25" s="20">
        <f>IF(T25=0,0,X25/T25)</f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52"/>
      <c r="B27" s="10" t="s">
        <v>14</v>
      </c>
      <c r="C27" s="10"/>
      <c r="D27" s="4">
        <v>7072.98</v>
      </c>
      <c r="E27" s="4"/>
      <c r="F27" s="12">
        <f>IF(D$12=0,0,D27/D$12)</f>
        <v>0.12745515856075634</v>
      </c>
      <c r="G27" s="4"/>
      <c r="H27" s="4"/>
      <c r="I27" s="4"/>
      <c r="J27" s="12">
        <f>IF(H$12=0,0,H27/H$12)</f>
        <v>0</v>
      </c>
      <c r="K27" s="4"/>
      <c r="L27" s="4">
        <f>+D27-H27</f>
        <v>7072.98</v>
      </c>
      <c r="M27" s="4"/>
      <c r="N27" s="12">
        <f>IF(H27=0,0,L27/H27)</f>
        <v>0</v>
      </c>
      <c r="O27" s="10"/>
      <c r="P27" s="4">
        <v>13621.73</v>
      </c>
      <c r="Q27" s="4"/>
      <c r="R27" s="12">
        <f>IF(P$12=0,0,P27/P$12)</f>
        <v>0.15890002421692767</v>
      </c>
      <c r="S27" s="4"/>
      <c r="T27" s="4"/>
      <c r="U27" s="4"/>
      <c r="V27" s="12">
        <f>IF(T$12=0,0,T27/T$12)</f>
        <v>0</v>
      </c>
      <c r="W27" s="4"/>
      <c r="X27" s="4">
        <f>+P27-T27</f>
        <v>13621.73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4</v>
      </c>
      <c r="C29" s="25"/>
      <c r="D29" s="31">
        <f>+D25-D27</f>
        <v>48413.03</v>
      </c>
      <c r="E29" s="13"/>
      <c r="F29" s="34">
        <f>IF(D$12=0,0,D29/D$12)</f>
        <v>0.87240320417372219</v>
      </c>
      <c r="G29" s="13"/>
      <c r="H29" s="31">
        <f>+H25-H27</f>
        <v>0</v>
      </c>
      <c r="I29" s="13"/>
      <c r="J29" s="34">
        <f>IF(H$12=0,0,H29/H$12)</f>
        <v>0</v>
      </c>
      <c r="K29" s="16"/>
      <c r="L29" s="31">
        <f>D29-H29</f>
        <v>48413.03</v>
      </c>
      <c r="M29" s="16"/>
      <c r="N29" s="34">
        <f>IF(H29=0,0,L29/H29)</f>
        <v>0</v>
      </c>
      <c r="O29" s="26"/>
      <c r="P29" s="31">
        <f>+P25-P27</f>
        <v>72095.570000000007</v>
      </c>
      <c r="Q29" s="13"/>
      <c r="R29" s="34">
        <f>IF(P$12=0,0,P29/P$12)</f>
        <v>0.84100828741527001</v>
      </c>
      <c r="S29" s="13"/>
      <c r="T29" s="31">
        <f>+T25-T27</f>
        <v>0</v>
      </c>
      <c r="U29" s="13"/>
      <c r="V29" s="34">
        <f>IF(T$12=0,0,T29/T$12)</f>
        <v>0</v>
      </c>
      <c r="W29" s="16"/>
      <c r="X29" s="31">
        <f>P29-T29</f>
        <v>72095.570000000007</v>
      </c>
      <c r="Y29" s="16"/>
      <c r="Z29" s="34">
        <f>IF(T29=0,0,X29/T29)</f>
        <v>0</v>
      </c>
    </row>
    <row r="30" spans="1:26" ht="15.75" thickTop="1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5</v>
      </c>
      <c r="C32" s="25"/>
      <c r="D32" s="33">
        <f>SUM(D29:D31)</f>
        <v>48413.03</v>
      </c>
      <c r="E32" s="13"/>
      <c r="F32" s="30">
        <f>IF(D$12=0,0,D32/D$12)</f>
        <v>0.87240320417372219</v>
      </c>
      <c r="G32" s="13"/>
      <c r="H32" s="33">
        <f>SUM(H29:H31)</f>
        <v>0</v>
      </c>
      <c r="I32" s="13"/>
      <c r="J32" s="30">
        <f>IF(H$12=0,0,H32/H$12)</f>
        <v>0</v>
      </c>
      <c r="K32" s="16"/>
      <c r="L32" s="33">
        <f>+D32-H32</f>
        <v>48413.03</v>
      </c>
      <c r="M32" s="16"/>
      <c r="N32" s="30">
        <f>IF(H32=0,0,L32/H32)</f>
        <v>0</v>
      </c>
      <c r="O32" s="26"/>
      <c r="P32" s="33">
        <f>SUM(P29:P31)</f>
        <v>72095.570000000007</v>
      </c>
      <c r="Q32" s="13"/>
      <c r="R32" s="30">
        <f>IF(P$12=0,0,P32/P$12)</f>
        <v>0.84100828741527001</v>
      </c>
      <c r="S32" s="13"/>
      <c r="T32" s="33">
        <f>SUM(T29:T31)</f>
        <v>0</v>
      </c>
      <c r="U32" s="13"/>
      <c r="V32" s="30">
        <f>IF(T$12=0,0,T32/T$12)</f>
        <v>0</v>
      </c>
      <c r="W32" s="16"/>
      <c r="X32" s="33">
        <f>+P32-T32</f>
        <v>72095.570000000007</v>
      </c>
      <c r="Y32" s="16"/>
      <c r="Z32" s="30">
        <f>IF(T32=0,0,X32/T32)</f>
        <v>0</v>
      </c>
    </row>
    <row r="33" spans="1:24" ht="15.75" thickTop="1" x14ac:dyDescent="0.25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5">
        <v>44174.680022650464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7" t="s">
        <v>314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A36" s="9"/>
      <c r="B36" s="63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25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361</v>
      </c>
      <c r="E18" s="19"/>
      <c r="F18" s="35">
        <f t="shared" ref="F18:F27" si="0">IF(D$12=0,0,D18/D$12)</f>
        <v>0</v>
      </c>
      <c r="G18" s="19"/>
      <c r="H18" s="19">
        <f>SUM(OSRRefH22x_0)</f>
        <v>14393.621307692309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-14032.621307692309</v>
      </c>
      <c r="M18" s="4"/>
      <c r="N18" s="35">
        <f t="shared" ref="N18:N27" si="3">IF(H18=0,0,L18/H18)</f>
        <v>-0.97491944575427503</v>
      </c>
      <c r="O18" s="10"/>
      <c r="P18" s="19">
        <f>SUM(OSRRefP22x_0)</f>
        <v>2941.43</v>
      </c>
      <c r="Q18" s="19"/>
      <c r="R18" s="35">
        <f t="shared" ref="R18:R27" si="4">IF(P$12=0,0,P18/P$12)</f>
        <v>0</v>
      </c>
      <c r="S18" s="19"/>
      <c r="T18" s="19">
        <f>SUM(OSRRefT22x_0)</f>
        <v>81584.917192307679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-78643.487192307686</v>
      </c>
      <c r="Y18" s="4"/>
      <c r="Z18" s="35">
        <f t="shared" ref="Z18:Z27" si="7">IF(T18=0,0,X18/T18)</f>
        <v>-0.9639463996382247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23267.224884615411</v>
      </c>
      <c r="U19" s="1"/>
      <c r="V19" s="5">
        <f t="shared" si="5"/>
        <v>0</v>
      </c>
      <c r="W19" s="1"/>
      <c r="X19" s="1">
        <f t="shared" si="6"/>
        <v>-20788.494884615411</v>
      </c>
      <c r="Y19" s="1"/>
      <c r="Z19" s="5">
        <f t="shared" si="7"/>
        <v>-0.89346688260880791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847.12823076923098</v>
      </c>
      <c r="I20" s="2"/>
      <c r="J20" s="7">
        <f t="shared" si="1"/>
        <v>0</v>
      </c>
      <c r="K20" s="2"/>
      <c r="L20" s="6">
        <f t="shared" si="2"/>
        <v>-847.12823076923098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4659.2052692307734</v>
      </c>
      <c r="U20" s="2"/>
      <c r="V20" s="7">
        <f t="shared" si="5"/>
        <v>0</v>
      </c>
      <c r="W20" s="2"/>
      <c r="X20" s="6">
        <f t="shared" si="6"/>
        <v>-4659.2052692307734</v>
      </c>
      <c r="Y20" s="2"/>
      <c r="Z20" s="7">
        <f t="shared" si="7"/>
        <v>-1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36.528461538461499</v>
      </c>
      <c r="I21" s="2"/>
      <c r="J21" s="7">
        <f t="shared" si="1"/>
        <v>0</v>
      </c>
      <c r="K21" s="2"/>
      <c r="L21" s="6">
        <f t="shared" si="2"/>
        <v>-36.528461538461499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200.9065384615383</v>
      </c>
      <c r="U21" s="2"/>
      <c r="V21" s="7">
        <f t="shared" si="5"/>
        <v>0</v>
      </c>
      <c r="W21" s="2"/>
      <c r="X21" s="6">
        <f t="shared" si="6"/>
        <v>-200.9065384615383</v>
      </c>
      <c r="Y21" s="2"/>
      <c r="Z21" s="7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1385</v>
      </c>
      <c r="I22" s="2"/>
      <c r="J22" s="7">
        <f t="shared" si="1"/>
        <v>0</v>
      </c>
      <c r="K22" s="2"/>
      <c r="L22" s="6">
        <f t="shared" si="2"/>
        <v>-1385</v>
      </c>
      <c r="M22" s="2"/>
      <c r="N22" s="7">
        <f t="shared" si="3"/>
        <v>-1</v>
      </c>
      <c r="O22" s="11"/>
      <c r="P22" s="6">
        <v>1868.2</v>
      </c>
      <c r="Q22" s="2"/>
      <c r="R22" s="7">
        <f t="shared" si="4"/>
        <v>0</v>
      </c>
      <c r="S22" s="2"/>
      <c r="T22" s="6">
        <v>6925</v>
      </c>
      <c r="U22" s="2"/>
      <c r="V22" s="7">
        <f t="shared" si="5"/>
        <v>0</v>
      </c>
      <c r="W22" s="2"/>
      <c r="X22" s="6">
        <f t="shared" si="6"/>
        <v>-5056.8</v>
      </c>
      <c r="Y22" s="2"/>
      <c r="Z22" s="7">
        <f t="shared" si="7"/>
        <v>-0.73022382671480146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28.78</v>
      </c>
      <c r="I23" s="2"/>
      <c r="J23" s="7">
        <f t="shared" si="1"/>
        <v>0</v>
      </c>
      <c r="K23" s="2"/>
      <c r="L23" s="6">
        <f t="shared" si="2"/>
        <v>-28.78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158.29</v>
      </c>
      <c r="U23" s="2"/>
      <c r="V23" s="7">
        <f t="shared" si="5"/>
        <v>0</v>
      </c>
      <c r="W23" s="2"/>
      <c r="X23" s="6">
        <f t="shared" si="6"/>
        <v>-158.29</v>
      </c>
      <c r="Y23" s="2"/>
      <c r="Z23" s="7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951.95384615384592</v>
      </c>
      <c r="I24" s="2"/>
      <c r="J24" s="7">
        <f t="shared" si="1"/>
        <v>0</v>
      </c>
      <c r="K24" s="2"/>
      <c r="L24" s="6">
        <f t="shared" si="2"/>
        <v>-951.95384615384592</v>
      </c>
      <c r="M24" s="2"/>
      <c r="N24" s="7">
        <f t="shared" si="3"/>
        <v>-1</v>
      </c>
      <c r="O24" s="11"/>
      <c r="P24" s="6">
        <v>610.53</v>
      </c>
      <c r="Q24" s="2"/>
      <c r="R24" s="7">
        <f t="shared" si="4"/>
        <v>0</v>
      </c>
      <c r="S24" s="2"/>
      <c r="T24" s="6">
        <v>5235.7461538461584</v>
      </c>
      <c r="U24" s="2"/>
      <c r="V24" s="7">
        <f t="shared" si="5"/>
        <v>0</v>
      </c>
      <c r="W24" s="2"/>
      <c r="X24" s="6">
        <f t="shared" si="6"/>
        <v>-4625.2161538461587</v>
      </c>
      <c r="Y24" s="2"/>
      <c r="Z24" s="7">
        <f t="shared" si="7"/>
        <v>-0.88339197851456053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1106.9230769230799</v>
      </c>
      <c r="I26" s="2"/>
      <c r="J26" s="7">
        <f t="shared" si="1"/>
        <v>0</v>
      </c>
      <c r="K26" s="2"/>
      <c r="L26" s="6">
        <f t="shared" si="2"/>
        <v>-1106.9230769230799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6088.0769230769401</v>
      </c>
      <c r="U26" s="2"/>
      <c r="V26" s="7">
        <f t="shared" si="5"/>
        <v>0</v>
      </c>
      <c r="W26" s="2"/>
      <c r="X26" s="6">
        <f t="shared" si="6"/>
        <v>-6088.0769230769401</v>
      </c>
      <c r="Y26" s="2"/>
      <c r="Z26" s="7">
        <f t="shared" si="7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9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54792.692307692269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-54792.692307692269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9962.3076923076896</v>
      </c>
      <c r="I29" s="2"/>
      <c r="J29" s="7">
        <f t="shared" si="9"/>
        <v>0</v>
      </c>
      <c r="K29" s="2"/>
      <c r="L29" s="6">
        <f t="shared" si="10"/>
        <v>-9962.3076923076896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54792.692307692269</v>
      </c>
      <c r="U29" s="2"/>
      <c r="V29" s="7">
        <f t="shared" si="13"/>
        <v>0</v>
      </c>
      <c r="W29" s="2"/>
      <c r="X29" s="6">
        <f t="shared" si="14"/>
        <v>-54792.692307692269</v>
      </c>
      <c r="Y29" s="2"/>
      <c r="Z29" s="7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8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9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8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3000</v>
      </c>
      <c r="U40" s="2"/>
      <c r="V40" s="7">
        <f t="shared" si="21"/>
        <v>0</v>
      </c>
      <c r="W40" s="2"/>
      <c r="X40" s="6">
        <f t="shared" si="22"/>
        <v>-3000</v>
      </c>
      <c r="Y40" s="2"/>
      <c r="Z40" s="7">
        <f t="shared" si="23"/>
        <v>-1</v>
      </c>
    </row>
    <row r="41" spans="1:26" s="29" customFormat="1" outlineLevel="1" collapsed="1" x14ac:dyDescent="0.25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8"/>
      <c r="B42" s="11" t="str">
        <f>CONCATENATE("          ", "6282", " - ", "JANITORIAL/EXTERMINATOR EXPENS")</f>
        <v xml:space="preserve">          6282 - JANITORIAL/EXTERMINATOR EXPENS</v>
      </c>
      <c r="C42" s="11"/>
      <c r="D42" s="6"/>
      <c r="E42" s="2"/>
      <c r="F42" s="7">
        <f t="shared" si="16"/>
        <v>0</v>
      </c>
      <c r="G42" s="2"/>
      <c r="H42" s="6">
        <v>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4" customFormat="1" hidden="1" outlineLevel="2" x14ac:dyDescent="0.25">
      <c r="A43" s="28"/>
      <c r="B43" s="11" t="str">
        <f>CONCATENATE("          ", "6285", " - ", "JANITORIAL SERVICES")</f>
        <v xml:space="preserve">          6285 - JANITORIAL SERVICES</v>
      </c>
      <c r="C43" s="11"/>
      <c r="D43" s="6"/>
      <c r="E43" s="2"/>
      <c r="F43" s="7">
        <f t="shared" si="16"/>
        <v>0</v>
      </c>
      <c r="G43" s="2"/>
      <c r="H43" s="6">
        <v>0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0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9" customFormat="1" outlineLevel="1" collapsed="1" x14ac:dyDescent="0.2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4"/>
      <c r="P44" s="1">
        <f>SUM(OSRRefP22_4x_0)</f>
        <v>-56.3</v>
      </c>
      <c r="Q44" s="1"/>
      <c r="R44" s="5">
        <f t="shared" ref="R44:R49" si="28">IF(P$12=0,0,P44/P$12)</f>
        <v>0</v>
      </c>
      <c r="S44" s="1"/>
      <c r="T44" s="1">
        <f>SUM(OSRRefT22_4x_0)</f>
        <v>125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-181.3</v>
      </c>
      <c r="Y44" s="1"/>
      <c r="Z44" s="5">
        <f t="shared" ref="Z44:Z49" si="31">IF(T44=0,0,X44/T44)</f>
        <v>-1.4504000000000001</v>
      </c>
    </row>
    <row r="45" spans="1:26" s="24" customFormat="1" hidden="1" outlineLevel="2" x14ac:dyDescent="0.25">
      <c r="A45" s="28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24"/>
        <v>0</v>
      </c>
      <c r="G45" s="2"/>
      <c r="H45" s="6">
        <v>25</v>
      </c>
      <c r="I45" s="2"/>
      <c r="J45" s="7">
        <f t="shared" si="25"/>
        <v>0</v>
      </c>
      <c r="K45" s="2"/>
      <c r="L45" s="6">
        <f t="shared" si="26"/>
        <v>-25</v>
      </c>
      <c r="M45" s="2"/>
      <c r="N45" s="7">
        <f t="shared" si="27"/>
        <v>-1</v>
      </c>
      <c r="O45" s="11"/>
      <c r="P45" s="6">
        <v>-56.3</v>
      </c>
      <c r="Q45" s="2"/>
      <c r="R45" s="7">
        <f t="shared" si="28"/>
        <v>0</v>
      </c>
      <c r="S45" s="2"/>
      <c r="T45" s="6">
        <v>125</v>
      </c>
      <c r="U45" s="2"/>
      <c r="V45" s="7">
        <f t="shared" si="29"/>
        <v>0</v>
      </c>
      <c r="W45" s="2"/>
      <c r="X45" s="6">
        <f t="shared" si="30"/>
        <v>-181.3</v>
      </c>
      <c r="Y45" s="2"/>
      <c r="Z45" s="7">
        <f t="shared" si="31"/>
        <v>-1.4504000000000001</v>
      </c>
    </row>
    <row r="46" spans="1:26" s="29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361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311</v>
      </c>
      <c r="M46" s="1"/>
      <c r="N46" s="5">
        <f t="shared" si="27"/>
        <v>6.22</v>
      </c>
      <c r="O46" s="14"/>
      <c r="P46" s="1">
        <f>SUM(OSRRefP22_5x_0)</f>
        <v>519</v>
      </c>
      <c r="Q46" s="1"/>
      <c r="R46" s="5">
        <f t="shared" si="28"/>
        <v>0</v>
      </c>
      <c r="S46" s="1"/>
      <c r="T46" s="1">
        <f>SUM(OSRRefT22_5x_0)</f>
        <v>400</v>
      </c>
      <c r="U46" s="1"/>
      <c r="V46" s="5">
        <f t="shared" si="29"/>
        <v>0</v>
      </c>
      <c r="W46" s="1"/>
      <c r="X46" s="1">
        <f t="shared" si="30"/>
        <v>119</v>
      </c>
      <c r="Y46" s="1"/>
      <c r="Z46" s="5">
        <f t="shared" si="31"/>
        <v>0.29749999999999999</v>
      </c>
    </row>
    <row r="47" spans="1:26" s="24" customFormat="1" hidden="1" outlineLevel="2" x14ac:dyDescent="0.25">
      <c r="A47" s="28"/>
      <c r="B47" s="11" t="str">
        <f>CONCATENATE("          ", "6309", " - ", "TELEPHONE")</f>
        <v xml:space="preserve">          6309 - TELEPHONE</v>
      </c>
      <c r="C47" s="11"/>
      <c r="D47" s="6">
        <v>361</v>
      </c>
      <c r="E47" s="2"/>
      <c r="F47" s="7">
        <f t="shared" si="24"/>
        <v>0</v>
      </c>
      <c r="G47" s="2"/>
      <c r="H47" s="6">
        <v>50</v>
      </c>
      <c r="I47" s="2"/>
      <c r="J47" s="7">
        <f t="shared" si="25"/>
        <v>0</v>
      </c>
      <c r="K47" s="2"/>
      <c r="L47" s="6">
        <f t="shared" si="26"/>
        <v>311</v>
      </c>
      <c r="M47" s="2"/>
      <c r="N47" s="7">
        <f t="shared" si="27"/>
        <v>6.22</v>
      </c>
      <c r="O47" s="11"/>
      <c r="P47" s="6">
        <v>519</v>
      </c>
      <c r="Q47" s="2"/>
      <c r="R47" s="7">
        <f t="shared" si="28"/>
        <v>0</v>
      </c>
      <c r="S47" s="2"/>
      <c r="T47" s="6">
        <v>400</v>
      </c>
      <c r="U47" s="2"/>
      <c r="V47" s="7">
        <f t="shared" si="29"/>
        <v>0</v>
      </c>
      <c r="W47" s="2"/>
      <c r="X47" s="6">
        <f t="shared" si="30"/>
        <v>119</v>
      </c>
      <c r="Y47" s="2"/>
      <c r="Z47" s="7">
        <f t="shared" si="31"/>
        <v>0.29749999999999999</v>
      </c>
    </row>
    <row r="48" spans="1:26" s="29" customFormat="1" outlineLevel="1" collapsed="1" x14ac:dyDescent="0.25">
      <c r="A48" s="27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8"/>
      <c r="B49" s="11" t="str">
        <f>CONCATENATE("          ", "6274", " - ", "UTILITIES")</f>
        <v xml:space="preserve">          6274 - UTILITIES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0</v>
      </c>
      <c r="U49" s="2"/>
      <c r="V49" s="7">
        <f t="shared" si="29"/>
        <v>0</v>
      </c>
      <c r="W49" s="2"/>
      <c r="X49" s="6">
        <f t="shared" si="30"/>
        <v>0</v>
      </c>
      <c r="Y49" s="2"/>
      <c r="Z49" s="7">
        <f t="shared" si="31"/>
        <v>0</v>
      </c>
    </row>
    <row r="50" spans="1:26" s="62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6" t="s">
        <v>0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6378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-6378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19350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-19350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22">
        <f t="shared" si="32"/>
        <v>0</v>
      </c>
      <c r="G52" s="2"/>
      <c r="H52" s="2">
        <v>3780</v>
      </c>
      <c r="I52" s="2"/>
      <c r="J52" s="22">
        <f t="shared" si="33"/>
        <v>0</v>
      </c>
      <c r="K52" s="2"/>
      <c r="L52" s="2">
        <f t="shared" si="34"/>
        <v>-3780</v>
      </c>
      <c r="M52" s="2"/>
      <c r="N52" s="22">
        <f t="shared" si="35"/>
        <v>-1</v>
      </c>
      <c r="O52" s="11"/>
      <c r="P52" s="2">
        <f t="shared" ref="P52:P54" si="41">0</f>
        <v>0</v>
      </c>
      <c r="Q52" s="2"/>
      <c r="R52" s="22">
        <f t="shared" si="36"/>
        <v>0</v>
      </c>
      <c r="S52" s="2"/>
      <c r="T52" s="2">
        <v>9186</v>
      </c>
      <c r="U52" s="2"/>
      <c r="V52" s="22">
        <f t="shared" si="37"/>
        <v>0</v>
      </c>
      <c r="W52" s="2"/>
      <c r="X52" s="2">
        <f t="shared" si="38"/>
        <v>-9186</v>
      </c>
      <c r="Y52" s="2"/>
      <c r="Z52" s="22">
        <f t="shared" si="39"/>
        <v>-1</v>
      </c>
    </row>
    <row r="53" spans="1:26" s="24" customFormat="1" hidden="1" outlineLevel="1" x14ac:dyDescent="0.2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1408</v>
      </c>
      <c r="I53" s="2"/>
      <c r="J53" s="22">
        <f t="shared" si="33"/>
        <v>0</v>
      </c>
      <c r="K53" s="2"/>
      <c r="L53" s="2">
        <f t="shared" si="34"/>
        <v>-1408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8418</v>
      </c>
      <c r="U53" s="2"/>
      <c r="V53" s="22">
        <f t="shared" si="37"/>
        <v>0</v>
      </c>
      <c r="W53" s="2"/>
      <c r="X53" s="2">
        <f t="shared" si="38"/>
        <v>-8418</v>
      </c>
      <c r="Y53" s="2"/>
      <c r="Z53" s="22">
        <f t="shared" si="39"/>
        <v>-1</v>
      </c>
    </row>
    <row r="54" spans="1:26" s="24" customFormat="1" hidden="1" outlineLevel="1" x14ac:dyDescent="0.25">
      <c r="A54" s="51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22">
        <f t="shared" si="32"/>
        <v>0</v>
      </c>
      <c r="G54" s="2"/>
      <c r="H54" s="2">
        <v>1190</v>
      </c>
      <c r="I54" s="2"/>
      <c r="J54" s="22">
        <f t="shared" si="33"/>
        <v>0</v>
      </c>
      <c r="K54" s="2"/>
      <c r="L54" s="2">
        <f t="shared" si="34"/>
        <v>-1190</v>
      </c>
      <c r="M54" s="2"/>
      <c r="N54" s="22">
        <f t="shared" si="35"/>
        <v>-1</v>
      </c>
      <c r="O54" s="11"/>
      <c r="P54" s="2">
        <f t="shared" si="41"/>
        <v>0</v>
      </c>
      <c r="Q54" s="2"/>
      <c r="R54" s="22">
        <f t="shared" si="36"/>
        <v>0</v>
      </c>
      <c r="S54" s="2"/>
      <c r="T54" s="2">
        <v>1746</v>
      </c>
      <c r="U54" s="2"/>
      <c r="V54" s="22">
        <f t="shared" si="37"/>
        <v>0</v>
      </c>
      <c r="W54" s="2"/>
      <c r="X54" s="2">
        <f t="shared" si="38"/>
        <v>-1746</v>
      </c>
      <c r="Y54" s="2"/>
      <c r="Z54" s="22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3</v>
      </c>
      <c r="C56" s="25"/>
      <c r="D56" s="21">
        <f>+D16-D18+D51</f>
        <v>-361</v>
      </c>
      <c r="E56" s="13"/>
      <c r="F56" s="20">
        <f>IF(D$12=0,0,D56/D$12)</f>
        <v>0</v>
      </c>
      <c r="G56" s="13"/>
      <c r="H56" s="21">
        <f>+H16-H18+H51</f>
        <v>-8015.6213076923086</v>
      </c>
      <c r="I56" s="13"/>
      <c r="J56" s="20">
        <f>IF(H$12=0,0,H56/H$12)</f>
        <v>0</v>
      </c>
      <c r="K56" s="16"/>
      <c r="L56" s="21">
        <f>+D56-H56</f>
        <v>7654.6213076923086</v>
      </c>
      <c r="M56" s="16"/>
      <c r="N56" s="20">
        <f>IF(H56=0,0,L56/H56)</f>
        <v>-0.95496294221714773</v>
      </c>
      <c r="O56" s="26"/>
      <c r="P56" s="21">
        <f>+P16-P18+P51</f>
        <v>-2941.43</v>
      </c>
      <c r="Q56" s="13"/>
      <c r="R56" s="20">
        <f>IF(P$12=0,0,P56/P$12)</f>
        <v>0</v>
      </c>
      <c r="S56" s="13"/>
      <c r="T56" s="21">
        <f>+T16-T18+T51</f>
        <v>-62234.917192307679</v>
      </c>
      <c r="U56" s="13"/>
      <c r="V56" s="20">
        <f>IF(T$12=0,0,T56/T$12)</f>
        <v>0</v>
      </c>
      <c r="W56" s="16"/>
      <c r="X56" s="21">
        <f>+P56-T56</f>
        <v>59293.487192307679</v>
      </c>
      <c r="Y56" s="16"/>
      <c r="Z56" s="20">
        <f>IF(T56=0,0,X56/T56)</f>
        <v>-0.95273666082159481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4</v>
      </c>
      <c r="C60" s="25"/>
      <c r="D60" s="31">
        <f>+D56-D58</f>
        <v>-361</v>
      </c>
      <c r="E60" s="13"/>
      <c r="F60" s="34">
        <f>IF(D$12=0,0,D60/D$12)</f>
        <v>0</v>
      </c>
      <c r="G60" s="13"/>
      <c r="H60" s="31">
        <f>+H56-H58</f>
        <v>-8015.6213076923086</v>
      </c>
      <c r="I60" s="13"/>
      <c r="J60" s="34">
        <f>IF(H$12=0,0,H60/H$12)</f>
        <v>0</v>
      </c>
      <c r="K60" s="16"/>
      <c r="L60" s="31">
        <f>D60-H60</f>
        <v>7654.6213076923086</v>
      </c>
      <c r="M60" s="16"/>
      <c r="N60" s="34">
        <f>IF(H60=0,0,L60/H60)</f>
        <v>-0.95496294221714773</v>
      </c>
      <c r="O60" s="26"/>
      <c r="P60" s="31">
        <f>+P56-P58</f>
        <v>-2941.43</v>
      </c>
      <c r="Q60" s="13"/>
      <c r="R60" s="34">
        <f>IF(P$12=0,0,P60/P$12)</f>
        <v>0</v>
      </c>
      <c r="S60" s="13"/>
      <c r="T60" s="31">
        <f>+T56-T58</f>
        <v>-62234.917192307679</v>
      </c>
      <c r="U60" s="13"/>
      <c r="V60" s="34">
        <f>IF(T$12=0,0,T60/T$12)</f>
        <v>0</v>
      </c>
      <c r="W60" s="16"/>
      <c r="X60" s="31">
        <f>P60-T60</f>
        <v>59293.487192307679</v>
      </c>
      <c r="Y60" s="16"/>
      <c r="Z60" s="34">
        <f>IF(T60=0,0,X60/T60)</f>
        <v>-0.95273666082159481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5</v>
      </c>
      <c r="C63" s="25"/>
      <c r="D63" s="33">
        <f>SUM(D60:D62)</f>
        <v>-361</v>
      </c>
      <c r="E63" s="13"/>
      <c r="F63" s="30">
        <f>IF(D$12=0,0,D63/D$12)</f>
        <v>0</v>
      </c>
      <c r="G63" s="13"/>
      <c r="H63" s="33">
        <f>SUM(H60:H62)</f>
        <v>-8015.6213076923086</v>
      </c>
      <c r="I63" s="13"/>
      <c r="J63" s="30">
        <f>IF(H$12=0,0,H63/H$12)</f>
        <v>0</v>
      </c>
      <c r="K63" s="16"/>
      <c r="L63" s="33">
        <f>+D63-H63</f>
        <v>7654.6213076923086</v>
      </c>
      <c r="M63" s="16"/>
      <c r="N63" s="30">
        <f>IF(H63=0,0,L63/H63)</f>
        <v>-0.95496294221714773</v>
      </c>
      <c r="O63" s="26"/>
      <c r="P63" s="33">
        <f>SUM(P60:P62)</f>
        <v>-2941.43</v>
      </c>
      <c r="Q63" s="13"/>
      <c r="R63" s="30">
        <f>IF(P$12=0,0,P63/P$12)</f>
        <v>0</v>
      </c>
      <c r="S63" s="13"/>
      <c r="T63" s="33">
        <f>SUM(T60:T62)</f>
        <v>-62234.917192307679</v>
      </c>
      <c r="U63" s="13"/>
      <c r="V63" s="30">
        <f>IF(T$12=0,0,T63/T$12)</f>
        <v>0</v>
      </c>
      <c r="W63" s="16"/>
      <c r="X63" s="33">
        <f>+P63-T63</f>
        <v>59293.487192307679</v>
      </c>
      <c r="Y63" s="16"/>
      <c r="Z63" s="30">
        <f>IF(T63=0,0,X63/T63)</f>
        <v>-0.95273666082159481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5">
        <v>44174.68003865741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7" t="s">
        <v>314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63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479.29</v>
      </c>
      <c r="E18" s="19"/>
      <c r="F18" s="35">
        <f t="shared" ref="F18:F26" si="0">IF(D$12=0,0,D18/D$12)</f>
        <v>0</v>
      </c>
      <c r="G18" s="19"/>
      <c r="H18" s="19">
        <f>SUM(OSRRefH22x_0)</f>
        <v>479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0.29000000000002046</v>
      </c>
      <c r="M18" s="4"/>
      <c r="N18" s="35">
        <f t="shared" ref="N18:N26" si="3">IF(H18=0,0,L18/H18)</f>
        <v>6.054279749478506E-4</v>
      </c>
      <c r="O18" s="10"/>
      <c r="P18" s="19">
        <f>SUM(OSRRefP22x_0)</f>
        <v>3297.2999999999997</v>
      </c>
      <c r="Q18" s="19"/>
      <c r="R18" s="35">
        <f t="shared" ref="R18:R26" si="4">IF(P$12=0,0,P18/P$12)</f>
        <v>0</v>
      </c>
      <c r="S18" s="19"/>
      <c r="T18" s="19">
        <f>SUM(OSRRefT22x_0)</f>
        <v>2395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902.29999999999973</v>
      </c>
      <c r="Y18" s="4"/>
      <c r="Z18" s="35">
        <f t="shared" ref="Z18:Z26" si="7">IF(T18=0,0,X18/T18)</f>
        <v>0.37674321503131514</v>
      </c>
    </row>
    <row r="19" spans="1:26" s="29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2396.4499999999998</v>
      </c>
      <c r="Q19" s="1"/>
      <c r="R19" s="5">
        <f t="shared" si="4"/>
        <v>0</v>
      </c>
      <c r="S19" s="1"/>
      <c r="T19" s="1">
        <f>SUM(OSRRefT22_0x_0)</f>
        <v>2395</v>
      </c>
      <c r="U19" s="1"/>
      <c r="V19" s="5">
        <f t="shared" si="5"/>
        <v>0</v>
      </c>
      <c r="W19" s="1"/>
      <c r="X19" s="1">
        <f t="shared" si="6"/>
        <v>1.4499999999998181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2396.4499999999998</v>
      </c>
      <c r="Q20" s="2"/>
      <c r="R20" s="7">
        <f t="shared" si="4"/>
        <v>0</v>
      </c>
      <c r="S20" s="2"/>
      <c r="T20" s="6">
        <v>2395</v>
      </c>
      <c r="U20" s="2"/>
      <c r="V20" s="7">
        <f t="shared" si="5"/>
        <v>0</v>
      </c>
      <c r="W20" s="2"/>
      <c r="X20" s="6">
        <f t="shared" si="6"/>
        <v>1.4499999999998181</v>
      </c>
      <c r="Y20" s="2"/>
      <c r="Z20" s="7">
        <f t="shared" si="7"/>
        <v>6.0542797494773199E-4</v>
      </c>
    </row>
    <row r="21" spans="1:26" s="29" customFormat="1" outlineLevel="1" collapsed="1" x14ac:dyDescent="0.25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519.54999999999995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519.54999999999995</v>
      </c>
      <c r="Y21" s="1"/>
      <c r="Z21" s="5">
        <f t="shared" si="7"/>
        <v>0</v>
      </c>
    </row>
    <row r="22" spans="1:26" s="24" customFormat="1" hidden="1" outlineLevel="2" x14ac:dyDescent="0.25">
      <c r="A22" s="28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519.54999999999995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519.54999999999995</v>
      </c>
      <c r="Y22" s="2"/>
      <c r="Z22" s="7">
        <f t="shared" si="7"/>
        <v>0</v>
      </c>
    </row>
    <row r="23" spans="1:26" s="29" customFormat="1" outlineLevel="1" collapsed="1" x14ac:dyDescent="0.2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8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154.33000000000001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154.33000000000001</v>
      </c>
      <c r="Y24" s="2"/>
      <c r="Z24" s="7">
        <f t="shared" si="7"/>
        <v>0</v>
      </c>
    </row>
    <row r="25" spans="1:26" s="29" customFormat="1" outlineLevel="1" collapsed="1" x14ac:dyDescent="0.2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226.97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226.97</v>
      </c>
      <c r="Y25" s="1"/>
      <c r="Z25" s="5">
        <f t="shared" si="7"/>
        <v>0</v>
      </c>
    </row>
    <row r="26" spans="1:26" s="24" customFormat="1" hidden="1" outlineLevel="2" x14ac:dyDescent="0.25">
      <c r="A26" s="28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226.97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226.97</v>
      </c>
      <c r="Y26" s="2"/>
      <c r="Z26" s="7">
        <f t="shared" si="7"/>
        <v>0</v>
      </c>
    </row>
    <row r="27" spans="1:26" s="62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3</v>
      </c>
      <c r="C30" s="25"/>
      <c r="D30" s="21">
        <f>+D16-D18+D28</f>
        <v>-479.29</v>
      </c>
      <c r="E30" s="13"/>
      <c r="F30" s="20">
        <f>IF(D$12=0,0,D30/D$12)</f>
        <v>0</v>
      </c>
      <c r="G30" s="13"/>
      <c r="H30" s="21">
        <f>+H16-H18+H28</f>
        <v>-479</v>
      </c>
      <c r="I30" s="13"/>
      <c r="J30" s="20">
        <f>IF(H$12=0,0,H30/H$12)</f>
        <v>0</v>
      </c>
      <c r="K30" s="16"/>
      <c r="L30" s="21">
        <f>+D30-H30</f>
        <v>-0.29000000000002046</v>
      </c>
      <c r="M30" s="16"/>
      <c r="N30" s="20">
        <f>IF(H30=0,0,L30/H30)</f>
        <v>6.054279749478506E-4</v>
      </c>
      <c r="O30" s="26"/>
      <c r="P30" s="21">
        <f>+P16-P18+P28</f>
        <v>-3297.2999999999997</v>
      </c>
      <c r="Q30" s="13"/>
      <c r="R30" s="20">
        <f>IF(P$12=0,0,P30/P$12)</f>
        <v>0</v>
      </c>
      <c r="S30" s="13"/>
      <c r="T30" s="21">
        <f>+T16-T18+T28</f>
        <v>-2395</v>
      </c>
      <c r="U30" s="13"/>
      <c r="V30" s="20">
        <f>IF(T$12=0,0,T30/T$12)</f>
        <v>0</v>
      </c>
      <c r="W30" s="16"/>
      <c r="X30" s="21">
        <f>+P30-T30</f>
        <v>-902.29999999999973</v>
      </c>
      <c r="Y30" s="16"/>
      <c r="Z30" s="20">
        <f>IF(T30=0,0,X30/T30)</f>
        <v>0.37674321503131514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4</v>
      </c>
      <c r="C34" s="25"/>
      <c r="D34" s="31">
        <f>+D30-D32</f>
        <v>-479.29</v>
      </c>
      <c r="E34" s="13"/>
      <c r="F34" s="34">
        <f>IF(D$12=0,0,D34/D$12)</f>
        <v>0</v>
      </c>
      <c r="G34" s="13"/>
      <c r="H34" s="31">
        <f>+H30-H32</f>
        <v>-479</v>
      </c>
      <c r="I34" s="13"/>
      <c r="J34" s="34">
        <f>IF(H$12=0,0,H34/H$12)</f>
        <v>0</v>
      </c>
      <c r="K34" s="16"/>
      <c r="L34" s="31">
        <f>D34-H34</f>
        <v>-0.29000000000002046</v>
      </c>
      <c r="M34" s="16"/>
      <c r="N34" s="34">
        <f>IF(H34=0,0,L34/H34)</f>
        <v>6.054279749478506E-4</v>
      </c>
      <c r="O34" s="26"/>
      <c r="P34" s="31">
        <f>+P30-P32</f>
        <v>-3297.2999999999997</v>
      </c>
      <c r="Q34" s="13"/>
      <c r="R34" s="34">
        <f>IF(P$12=0,0,P34/P$12)</f>
        <v>0</v>
      </c>
      <c r="S34" s="13"/>
      <c r="T34" s="31">
        <f>+T30-T32</f>
        <v>-2395</v>
      </c>
      <c r="U34" s="13"/>
      <c r="V34" s="34">
        <f>IF(T$12=0,0,T34/T$12)</f>
        <v>0</v>
      </c>
      <c r="W34" s="16"/>
      <c r="X34" s="31">
        <f>P34-T34</f>
        <v>-902.29999999999973</v>
      </c>
      <c r="Y34" s="16"/>
      <c r="Z34" s="34">
        <f>IF(T34=0,0,X34/T34)</f>
        <v>0.37674321503131514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5</v>
      </c>
      <c r="C37" s="25"/>
      <c r="D37" s="33">
        <f>SUM(D34:D36)</f>
        <v>-479.29</v>
      </c>
      <c r="E37" s="13"/>
      <c r="F37" s="30">
        <f>IF(D$12=0,0,D37/D$12)</f>
        <v>0</v>
      </c>
      <c r="G37" s="13"/>
      <c r="H37" s="33">
        <f>SUM(H34:H36)</f>
        <v>-479</v>
      </c>
      <c r="I37" s="13"/>
      <c r="J37" s="30">
        <f>IF(H$12=0,0,H37/H$12)</f>
        <v>0</v>
      </c>
      <c r="K37" s="16"/>
      <c r="L37" s="33">
        <f>+D37-H37</f>
        <v>-0.29000000000002046</v>
      </c>
      <c r="M37" s="16"/>
      <c r="N37" s="30">
        <f>IF(H37=0,0,L37/H37)</f>
        <v>6.054279749478506E-4</v>
      </c>
      <c r="O37" s="26"/>
      <c r="P37" s="33">
        <f>SUM(P34:P36)</f>
        <v>-3297.2999999999997</v>
      </c>
      <c r="Q37" s="13"/>
      <c r="R37" s="30">
        <f>IF(P$12=0,0,P37/P$12)</f>
        <v>0</v>
      </c>
      <c r="S37" s="13"/>
      <c r="T37" s="33">
        <f>SUM(T34:T36)</f>
        <v>-2395</v>
      </c>
      <c r="U37" s="13"/>
      <c r="V37" s="30">
        <f>IF(T$12=0,0,T37/T$12)</f>
        <v>0</v>
      </c>
      <c r="W37" s="16"/>
      <c r="X37" s="33">
        <f>+P37-T37</f>
        <v>-902.29999999999973</v>
      </c>
      <c r="Y37" s="16"/>
      <c r="Z37" s="30">
        <f>IF(T37=0,0,X37/T37)</f>
        <v>0.37674321503131514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>
        <v>44174.680057175923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 t="s">
        <v>314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3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1462.8899999999999</v>
      </c>
      <c r="E18" s="19"/>
      <c r="F18" s="35">
        <f t="shared" ref="F18:F24" si="0">IF(D$12=0,0,D18/D$12)</f>
        <v>0</v>
      </c>
      <c r="G18" s="19"/>
      <c r="H18" s="19">
        <f>SUM(OSRRefH22x_0)</f>
        <v>1001</v>
      </c>
      <c r="I18" s="19"/>
      <c r="J18" s="35">
        <f t="shared" ref="J18:J24" si="1">IF(H$12=0,0,H18/H$12)</f>
        <v>0</v>
      </c>
      <c r="K18" s="4"/>
      <c r="L18" s="19">
        <f t="shared" ref="L18:L24" si="2">+D18-H18</f>
        <v>461.88999999999987</v>
      </c>
      <c r="M18" s="4"/>
      <c r="N18" s="35">
        <f t="shared" ref="N18:N24" si="3">IF(H18=0,0,L18/H18)</f>
        <v>0.4614285714285713</v>
      </c>
      <c r="O18" s="10"/>
      <c r="P18" s="19">
        <f>SUM(OSRRefP22x_0)</f>
        <v>8633.23</v>
      </c>
      <c r="Q18" s="19"/>
      <c r="R18" s="35">
        <f t="shared" ref="R18:R24" si="4">IF(P$12=0,0,P18/P$12)</f>
        <v>0</v>
      </c>
      <c r="S18" s="19"/>
      <c r="T18" s="19">
        <f>SUM(OSRRefT22x_0)</f>
        <v>5005</v>
      </c>
      <c r="U18" s="19"/>
      <c r="V18" s="35">
        <f t="shared" ref="V18:V24" si="5">IF(T$12=0,0,T18/T$12)</f>
        <v>0</v>
      </c>
      <c r="W18" s="4"/>
      <c r="X18" s="19">
        <f t="shared" ref="X18:X24" si="6">+P18-T18</f>
        <v>3628.2299999999996</v>
      </c>
      <c r="Y18" s="4"/>
      <c r="Z18" s="35">
        <f t="shared" ref="Z18:Z24" si="7">IF(T18=0,0,X18/T18)</f>
        <v>0.72492107892107882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0.75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0.75</v>
      </c>
      <c r="M19" s="1"/>
      <c r="N19" s="5">
        <f t="shared" si="3"/>
        <v>0</v>
      </c>
      <c r="O19" s="14"/>
      <c r="P19" s="1">
        <f>SUM(OSRRefP22_0x_0)</f>
        <v>1420.5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1420.5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0.75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0.75</v>
      </c>
      <c r="M20" s="2"/>
      <c r="N20" s="7">
        <f t="shared" si="3"/>
        <v>0</v>
      </c>
      <c r="O20" s="11"/>
      <c r="P20" s="6">
        <v>171.54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171.54</v>
      </c>
      <c r="Y20" s="2"/>
      <c r="Z20" s="7">
        <f t="shared" si="7"/>
        <v>0</v>
      </c>
    </row>
    <row r="21" spans="1:26" s="24" customFormat="1" hidden="1" outlineLevel="2" x14ac:dyDescent="0.25">
      <c r="A21" s="28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699.3</v>
      </c>
      <c r="Q21" s="2"/>
      <c r="R21" s="7">
        <f t="shared" si="4"/>
        <v>0</v>
      </c>
      <c r="S21" s="2"/>
      <c r="T21" s="6"/>
      <c r="U21" s="2"/>
      <c r="V21" s="7">
        <f t="shared" si="5"/>
        <v>0</v>
      </c>
      <c r="W21" s="2"/>
      <c r="X21" s="6">
        <f t="shared" si="6"/>
        <v>699.3</v>
      </c>
      <c r="Y21" s="2"/>
      <c r="Z21" s="7">
        <f t="shared" si="7"/>
        <v>0</v>
      </c>
    </row>
    <row r="22" spans="1:26" s="24" customFormat="1" hidden="1" outlineLevel="2" x14ac:dyDescent="0.25">
      <c r="A22" s="28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355.22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355.22</v>
      </c>
      <c r="Y22" s="2"/>
      <c r="Z22" s="7">
        <f t="shared" si="7"/>
        <v>0</v>
      </c>
    </row>
    <row r="23" spans="1:26" s="24" customFormat="1" hidden="1" outlineLevel="2" x14ac:dyDescent="0.25">
      <c r="A23" s="28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>
        <v>88.46</v>
      </c>
      <c r="Q23" s="2"/>
      <c r="R23" s="7">
        <f t="shared" si="4"/>
        <v>0</v>
      </c>
      <c r="S23" s="2"/>
      <c r="T23" s="6"/>
      <c r="U23" s="2"/>
      <c r="V23" s="7">
        <f t="shared" si="5"/>
        <v>0</v>
      </c>
      <c r="W23" s="2"/>
      <c r="X23" s="6">
        <f t="shared" si="6"/>
        <v>88.46</v>
      </c>
      <c r="Y23" s="2"/>
      <c r="Z23" s="7">
        <f t="shared" si="7"/>
        <v>0</v>
      </c>
    </row>
    <row r="24" spans="1:26" s="24" customFormat="1" hidden="1" outlineLevel="2" x14ac:dyDescent="0.25">
      <c r="A24" s="28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105.98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105.98</v>
      </c>
      <c r="Y24" s="2"/>
      <c r="Z24" s="7">
        <f t="shared" si="7"/>
        <v>0</v>
      </c>
    </row>
    <row r="25" spans="1:26" s="29" customFormat="1" outlineLevel="1" collapsed="1" x14ac:dyDescent="0.2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3" si="8">IF(D$12=0,0,D25/D$12)</f>
        <v>0</v>
      </c>
      <c r="G25" s="1"/>
      <c r="H25" s="1">
        <f>SUM(OSRRefH22_1x_0)</f>
        <v>0</v>
      </c>
      <c r="I25" s="1"/>
      <c r="J25" s="5">
        <f t="shared" ref="J25:J33" si="9">IF(H$12=0,0,H25/H$12)</f>
        <v>0</v>
      </c>
      <c r="K25" s="1"/>
      <c r="L25" s="1">
        <f t="shared" ref="L25:L33" si="10">+D25-H25</f>
        <v>0</v>
      </c>
      <c r="M25" s="1"/>
      <c r="N25" s="5">
        <f t="shared" ref="N25:N33" si="11">IF(H25=0,0,L25/H25)</f>
        <v>0</v>
      </c>
      <c r="O25" s="14"/>
      <c r="P25" s="1">
        <f>SUM(OSRRefP22_1x_0)</f>
        <v>1378.61</v>
      </c>
      <c r="Q25" s="1"/>
      <c r="R25" s="5">
        <f t="shared" ref="R25:R33" si="12">IF(P$12=0,0,P25/P$12)</f>
        <v>0</v>
      </c>
      <c r="S25" s="1"/>
      <c r="T25" s="1">
        <f>SUM(OSRRefT22_1x_0)</f>
        <v>0</v>
      </c>
      <c r="U25" s="1"/>
      <c r="V25" s="5">
        <f t="shared" ref="V25:V33" si="13">IF(T$12=0,0,T25/T$12)</f>
        <v>0</v>
      </c>
      <c r="W25" s="1"/>
      <c r="X25" s="1">
        <f t="shared" ref="X25:X33" si="14">+P25-T25</f>
        <v>1378.61</v>
      </c>
      <c r="Y25" s="1"/>
      <c r="Z25" s="5">
        <f t="shared" ref="Z25:Z33" si="15">IF(T25=0,0,X25/T25)</f>
        <v>0</v>
      </c>
    </row>
    <row r="26" spans="1:26" s="24" customFormat="1" hidden="1" outlineLevel="2" x14ac:dyDescent="0.25">
      <c r="A26" s="28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1378.61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1378.61</v>
      </c>
      <c r="Y26" s="2"/>
      <c r="Z26" s="7">
        <f t="shared" si="15"/>
        <v>0</v>
      </c>
    </row>
    <row r="27" spans="1:26" s="29" customFormat="1" outlineLevel="1" collapsed="1" x14ac:dyDescent="0.25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5004.55</v>
      </c>
      <c r="Q27" s="1"/>
      <c r="R27" s="5">
        <f t="shared" si="12"/>
        <v>0</v>
      </c>
      <c r="S27" s="1"/>
      <c r="T27" s="1">
        <f>SUM(OSRRefT22_2x_0)</f>
        <v>5005</v>
      </c>
      <c r="U27" s="1"/>
      <c r="V27" s="5">
        <f t="shared" si="13"/>
        <v>0</v>
      </c>
      <c r="W27" s="1"/>
      <c r="X27" s="1">
        <f t="shared" si="14"/>
        <v>-0.4499999999998181</v>
      </c>
      <c r="Y27" s="1"/>
      <c r="Z27" s="5">
        <f t="shared" si="15"/>
        <v>-8.9910089910053562E-5</v>
      </c>
    </row>
    <row r="28" spans="1:26" s="24" customFormat="1" hidden="1" outlineLevel="2" x14ac:dyDescent="0.25">
      <c r="A28" s="28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1000.91</v>
      </c>
      <c r="E28" s="2"/>
      <c r="F28" s="7">
        <f t="shared" si="8"/>
        <v>0</v>
      </c>
      <c r="G28" s="2"/>
      <c r="H28" s="6">
        <v>1001</v>
      </c>
      <c r="I28" s="2"/>
      <c r="J28" s="7">
        <f t="shared" si="9"/>
        <v>0</v>
      </c>
      <c r="K28" s="2"/>
      <c r="L28" s="6">
        <f t="shared" si="10"/>
        <v>-9.0000000000031832E-2</v>
      </c>
      <c r="M28" s="2"/>
      <c r="N28" s="7">
        <f t="shared" si="11"/>
        <v>-8.9910089910121704E-5</v>
      </c>
      <c r="O28" s="11"/>
      <c r="P28" s="6">
        <v>5004.55</v>
      </c>
      <c r="Q28" s="2"/>
      <c r="R28" s="7">
        <f t="shared" si="12"/>
        <v>0</v>
      </c>
      <c r="S28" s="2"/>
      <c r="T28" s="6">
        <v>5005</v>
      </c>
      <c r="U28" s="2"/>
      <c r="V28" s="7">
        <f t="shared" si="13"/>
        <v>0</v>
      </c>
      <c r="W28" s="2"/>
      <c r="X28" s="6">
        <f t="shared" si="14"/>
        <v>-0.4499999999998181</v>
      </c>
      <c r="Y28" s="2"/>
      <c r="Z28" s="7">
        <f t="shared" si="15"/>
        <v>-8.9910089910053562E-5</v>
      </c>
    </row>
    <row r="29" spans="1:26" s="29" customFormat="1" outlineLevel="1" collapsed="1" x14ac:dyDescent="0.25">
      <c r="A29" s="27"/>
      <c r="B29" s="14" t="str">
        <f>CONCATENATE("     ","General                                           ")</f>
        <v xml:space="preserve">     General                                           </v>
      </c>
      <c r="C29" s="14"/>
      <c r="D29" s="1">
        <f>SUM(OSRRefD22_3x_0)</f>
        <v>455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455</v>
      </c>
      <c r="M29" s="1"/>
      <c r="N29" s="5">
        <f t="shared" si="11"/>
        <v>0</v>
      </c>
      <c r="O29" s="14"/>
      <c r="P29" s="1">
        <f>SUM(OSRRefP22_3x_0)</f>
        <v>455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455</v>
      </c>
      <c r="Y29" s="1"/>
      <c r="Z29" s="5">
        <f t="shared" si="15"/>
        <v>0</v>
      </c>
    </row>
    <row r="30" spans="1:26" s="24" customFormat="1" hidden="1" outlineLevel="2" x14ac:dyDescent="0.25">
      <c r="A30" s="28"/>
      <c r="B30" s="11" t="str">
        <f>CONCATENATE("          ", "6279", " - ", "GENERAL EXPENSE")</f>
        <v xml:space="preserve">          6279 - GENERAL EXPENSE</v>
      </c>
      <c r="C30" s="11"/>
      <c r="D30" s="6">
        <v>455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455</v>
      </c>
      <c r="M30" s="2"/>
      <c r="N30" s="7">
        <f t="shared" si="11"/>
        <v>0</v>
      </c>
      <c r="O30" s="11"/>
      <c r="P30" s="6">
        <v>455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455</v>
      </c>
      <c r="Y30" s="2"/>
      <c r="Z30" s="7">
        <f t="shared" si="15"/>
        <v>0</v>
      </c>
    </row>
    <row r="31" spans="1:26" s="29" customFormat="1" outlineLevel="1" collapsed="1" x14ac:dyDescent="0.25">
      <c r="A31" s="27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6.23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6.23</v>
      </c>
      <c r="M31" s="1"/>
      <c r="N31" s="5">
        <f t="shared" si="11"/>
        <v>0</v>
      </c>
      <c r="O31" s="14"/>
      <c r="P31" s="1">
        <f>SUM(OSRRefP22_4x_0)</f>
        <v>242.03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242.03</v>
      </c>
      <c r="Y31" s="1"/>
      <c r="Z31" s="5">
        <f t="shared" si="15"/>
        <v>0</v>
      </c>
    </row>
    <row r="32" spans="1:26" s="24" customFormat="1" hidden="1" outlineLevel="2" x14ac:dyDescent="0.25">
      <c r="A32" s="28"/>
      <c r="B32" s="11" t="str">
        <f>CONCATENATE("          ", "6373", " - ", "MAINTENANCE CONTRACTS")</f>
        <v xml:space="preserve">          6373 - MAINTENANCE CONTRACTS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235.8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235.8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"6375", " - ", "OUTSIDE REPAIRS &amp; MAINTENANCE")</f>
        <v xml:space="preserve">          6375 - OUTSIDE REPAIRS &amp; MAINTENANCE</v>
      </c>
      <c r="C33" s="11"/>
      <c r="D33" s="6">
        <v>6.23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6.23</v>
      </c>
      <c r="M33" s="2"/>
      <c r="N33" s="7">
        <f t="shared" si="11"/>
        <v>0</v>
      </c>
      <c r="O33" s="11"/>
      <c r="P33" s="6">
        <v>6.23</v>
      </c>
      <c r="Q33" s="2"/>
      <c r="R33" s="7">
        <f t="shared" si="12"/>
        <v>0</v>
      </c>
      <c r="S33" s="2"/>
      <c r="T33" s="6"/>
      <c r="U33" s="2"/>
      <c r="V33" s="7">
        <f t="shared" si="13"/>
        <v>0</v>
      </c>
      <c r="W33" s="2"/>
      <c r="X33" s="6">
        <f t="shared" si="14"/>
        <v>6.23</v>
      </c>
      <c r="Y33" s="2"/>
      <c r="Z33" s="7">
        <f t="shared" si="15"/>
        <v>0</v>
      </c>
    </row>
    <row r="34" spans="1:26" s="29" customFormat="1" outlineLevel="1" collapsed="1" x14ac:dyDescent="0.25">
      <c r="A34" s="27"/>
      <c r="B34" s="14" t="str">
        <f>CONCATENATE("     ","Telephone/Data Lines                              ")</f>
        <v xml:space="preserve">     Telephone/Data Lines                              </v>
      </c>
      <c r="C34" s="14"/>
      <c r="D34" s="1">
        <f>SUM(OSRRefD22_5x_0)</f>
        <v>0</v>
      </c>
      <c r="E34" s="1"/>
      <c r="F34" s="5">
        <f t="shared" ref="F34:F35" si="16">IF(D$12=0,0,D34/D$12)</f>
        <v>0</v>
      </c>
      <c r="G34" s="1"/>
      <c r="H34" s="1">
        <f>SUM(OSRRefH22_5x_0)</f>
        <v>0</v>
      </c>
      <c r="I34" s="1"/>
      <c r="J34" s="5">
        <f t="shared" ref="J34:J35" si="17">IF(H$12=0,0,H34/H$12)</f>
        <v>0</v>
      </c>
      <c r="K34" s="1"/>
      <c r="L34" s="1">
        <f t="shared" ref="L34:L35" si="18">+D34-H34</f>
        <v>0</v>
      </c>
      <c r="M34" s="1"/>
      <c r="N34" s="5">
        <f t="shared" ref="N34:N35" si="19">IF(H34=0,0,L34/H34)</f>
        <v>0</v>
      </c>
      <c r="O34" s="14"/>
      <c r="P34" s="1">
        <f>SUM(OSRRefP22_5x_0)</f>
        <v>132.54</v>
      </c>
      <c r="Q34" s="1"/>
      <c r="R34" s="5">
        <f t="shared" ref="R34:R35" si="20">IF(P$12=0,0,P34/P$12)</f>
        <v>0</v>
      </c>
      <c r="S34" s="1"/>
      <c r="T34" s="1">
        <f>SUM(OSRRefT22_5x_0)</f>
        <v>0</v>
      </c>
      <c r="U34" s="1"/>
      <c r="V34" s="5">
        <f t="shared" ref="V34:V35" si="21">IF(T$12=0,0,T34/T$12)</f>
        <v>0</v>
      </c>
      <c r="W34" s="1"/>
      <c r="X34" s="1">
        <f t="shared" ref="X34:X35" si="22">+P34-T34</f>
        <v>132.54</v>
      </c>
      <c r="Y34" s="1"/>
      <c r="Z34" s="5">
        <f t="shared" ref="Z34:Z35" si="23">IF(T34=0,0,X34/T34)</f>
        <v>0</v>
      </c>
    </row>
    <row r="35" spans="1:26" s="24" customFormat="1" hidden="1" outlineLevel="2" x14ac:dyDescent="0.25">
      <c r="A35" s="28"/>
      <c r="B35" s="11" t="str">
        <f>CONCATENATE("          ", "6309", " - ", "TELEPHONE")</f>
        <v xml:space="preserve">          6309 - TELEPHONE</v>
      </c>
      <c r="C35" s="11"/>
      <c r="D35" s="6"/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132.54</v>
      </c>
      <c r="Q35" s="2"/>
      <c r="R35" s="7">
        <f t="shared" si="20"/>
        <v>0</v>
      </c>
      <c r="S35" s="2"/>
      <c r="T35" s="6"/>
      <c r="U35" s="2"/>
      <c r="V35" s="7">
        <f t="shared" si="21"/>
        <v>0</v>
      </c>
      <c r="W35" s="2"/>
      <c r="X35" s="6">
        <f t="shared" si="22"/>
        <v>132.54</v>
      </c>
      <c r="Y35" s="2"/>
      <c r="Z35" s="7">
        <f t="shared" si="23"/>
        <v>0</v>
      </c>
    </row>
    <row r="36" spans="1:26" s="62" customFormat="1" x14ac:dyDescent="0.25">
      <c r="A36" s="36"/>
      <c r="B36" s="36"/>
      <c r="C36" s="36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0</v>
      </c>
      <c r="C37" s="10"/>
      <c r="D37" s="4">
        <f>SUM(0)</f>
        <v>0</v>
      </c>
      <c r="E37" s="4"/>
      <c r="F37" s="12">
        <f>IF(D$12=0,0,D37/D$12)</f>
        <v>0</v>
      </c>
      <c r="G37" s="4"/>
      <c r="H37" s="4">
        <f>SUM(0)</f>
        <v>0</v>
      </c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>
        <f>SUM(0)</f>
        <v>0</v>
      </c>
      <c r="Q37" s="4"/>
      <c r="R37" s="12">
        <f>IF(P$12=0,0,P37/P$12)</f>
        <v>0</v>
      </c>
      <c r="S37" s="4"/>
      <c r="T37" s="4">
        <f>SUM(0)</f>
        <v>0</v>
      </c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5" t="s">
        <v>3</v>
      </c>
      <c r="C39" s="25"/>
      <c r="D39" s="21">
        <f>+D16-D18+D37</f>
        <v>-1462.8899999999999</v>
      </c>
      <c r="E39" s="13"/>
      <c r="F39" s="20">
        <f>IF(D$12=0,0,D39/D$12)</f>
        <v>0</v>
      </c>
      <c r="G39" s="13"/>
      <c r="H39" s="21">
        <f>+H16-H18+H37</f>
        <v>-1001</v>
      </c>
      <c r="I39" s="13"/>
      <c r="J39" s="20">
        <f>IF(H$12=0,0,H39/H$12)</f>
        <v>0</v>
      </c>
      <c r="K39" s="16"/>
      <c r="L39" s="21">
        <f>+D39-H39</f>
        <v>-461.88999999999987</v>
      </c>
      <c r="M39" s="16"/>
      <c r="N39" s="20">
        <f>IF(H39=0,0,L39/H39)</f>
        <v>0.4614285714285713</v>
      </c>
      <c r="O39" s="26"/>
      <c r="P39" s="21">
        <f>+P16-P18+P37</f>
        <v>-8633.23</v>
      </c>
      <c r="Q39" s="13"/>
      <c r="R39" s="20">
        <f>IF(P$12=0,0,P39/P$12)</f>
        <v>0</v>
      </c>
      <c r="S39" s="13"/>
      <c r="T39" s="21">
        <f>+T16-T18+T37</f>
        <v>-5005</v>
      </c>
      <c r="U39" s="13"/>
      <c r="V39" s="20">
        <f>IF(T$12=0,0,T39/T$12)</f>
        <v>0</v>
      </c>
      <c r="W39" s="16"/>
      <c r="X39" s="21">
        <f>+P39-T39</f>
        <v>-3628.2299999999996</v>
      </c>
      <c r="Y39" s="16"/>
      <c r="Z39" s="20">
        <f>IF(T39=0,0,X39/T39)</f>
        <v>0.72492107892107882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52"/>
      <c r="B41" s="10" t="s">
        <v>14</v>
      </c>
      <c r="C41" s="10"/>
      <c r="D41" s="4"/>
      <c r="E41" s="4"/>
      <c r="F41" s="12">
        <f>IF(D$12=0,0,D41/D$12)</f>
        <v>0</v>
      </c>
      <c r="G41" s="4"/>
      <c r="H41" s="4"/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/>
      <c r="Q41" s="4"/>
      <c r="R41" s="12">
        <f>IF(P$12=0,0,P41/P$12)</f>
        <v>0</v>
      </c>
      <c r="S41" s="4"/>
      <c r="T41" s="4"/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5" t="s">
        <v>4</v>
      </c>
      <c r="C43" s="25"/>
      <c r="D43" s="31">
        <f>+D39-D41</f>
        <v>-1462.8899999999999</v>
      </c>
      <c r="E43" s="13"/>
      <c r="F43" s="34">
        <f>IF(D$12=0,0,D43/D$12)</f>
        <v>0</v>
      </c>
      <c r="G43" s="13"/>
      <c r="H43" s="31">
        <f>+H39-H41</f>
        <v>-1001</v>
      </c>
      <c r="I43" s="13"/>
      <c r="J43" s="34">
        <f>IF(H$12=0,0,H43/H$12)</f>
        <v>0</v>
      </c>
      <c r="K43" s="16"/>
      <c r="L43" s="31">
        <f>D43-H43</f>
        <v>-461.88999999999987</v>
      </c>
      <c r="M43" s="16"/>
      <c r="N43" s="34">
        <f>IF(H43=0,0,L43/H43)</f>
        <v>0.4614285714285713</v>
      </c>
      <c r="O43" s="26"/>
      <c r="P43" s="31">
        <f>+P39-P41</f>
        <v>-8633.23</v>
      </c>
      <c r="Q43" s="13"/>
      <c r="R43" s="34">
        <f>IF(P$12=0,0,P43/P$12)</f>
        <v>0</v>
      </c>
      <c r="S43" s="13"/>
      <c r="T43" s="31">
        <f>+T39-T41</f>
        <v>-5005</v>
      </c>
      <c r="U43" s="13"/>
      <c r="V43" s="34">
        <f>IF(T$12=0,0,T43/T$12)</f>
        <v>0</v>
      </c>
      <c r="W43" s="16"/>
      <c r="X43" s="31">
        <f>P43-T43</f>
        <v>-3628.2299999999996</v>
      </c>
      <c r="Y43" s="16"/>
      <c r="Z43" s="34">
        <f>IF(T43=0,0,X43/T43)</f>
        <v>0.72492107892107882</v>
      </c>
    </row>
    <row r="44" spans="1:26" ht="15.75" thickTop="1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.75" thickBot="1" x14ac:dyDescent="0.3">
      <c r="A46" s="10"/>
      <c r="B46" s="25" t="s">
        <v>5</v>
      </c>
      <c r="C46" s="25"/>
      <c r="D46" s="33">
        <f>SUM(D43:D45)</f>
        <v>-1462.8899999999999</v>
      </c>
      <c r="E46" s="13"/>
      <c r="F46" s="30">
        <f>IF(D$12=0,0,D46/D$12)</f>
        <v>0</v>
      </c>
      <c r="G46" s="13"/>
      <c r="H46" s="33">
        <f>SUM(H43:H45)</f>
        <v>-1001</v>
      </c>
      <c r="I46" s="13"/>
      <c r="J46" s="30">
        <f>IF(H$12=0,0,H46/H$12)</f>
        <v>0</v>
      </c>
      <c r="K46" s="16"/>
      <c r="L46" s="33">
        <f>+D46-H46</f>
        <v>-461.88999999999987</v>
      </c>
      <c r="M46" s="16"/>
      <c r="N46" s="30">
        <f>IF(H46=0,0,L46/H46)</f>
        <v>0.4614285714285713</v>
      </c>
      <c r="O46" s="26"/>
      <c r="P46" s="33">
        <f>SUM(P43:P45)</f>
        <v>-8633.23</v>
      </c>
      <c r="Q46" s="13"/>
      <c r="R46" s="30">
        <f>IF(P$12=0,0,P46/P$12)</f>
        <v>0</v>
      </c>
      <c r="S46" s="13"/>
      <c r="T46" s="33">
        <f>SUM(T43:T45)</f>
        <v>-5005</v>
      </c>
      <c r="U46" s="13"/>
      <c r="V46" s="30">
        <f>IF(T$12=0,0,T46/T$12)</f>
        <v>0</v>
      </c>
      <c r="W46" s="16"/>
      <c r="X46" s="33">
        <f>+P46-T46</f>
        <v>-3628.2299999999996</v>
      </c>
      <c r="Y46" s="16"/>
      <c r="Z46" s="30">
        <f>IF(T46=0,0,X46/T46)</f>
        <v>0.72492107892107882</v>
      </c>
    </row>
    <row r="47" spans="1:26" ht="15.75" thickTop="1" x14ac:dyDescent="0.25">
      <c r="A47" s="9"/>
      <c r="C47" s="9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A48" s="9"/>
      <c r="B48" s="55">
        <v>44174.6800721412</v>
      </c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25">
      <c r="A49" s="9"/>
      <c r="B49" s="57" t="s">
        <v>314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25">
      <c r="A50" s="9"/>
      <c r="B50" s="63"/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25"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6" t="s">
        <v>0</v>
      </c>
      <c r="C20" s="10"/>
      <c r="D20" s="4">
        <f>SUM(OSRRefD25x_0)</f>
        <v>173.47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173.47</v>
      </c>
      <c r="M20" s="4"/>
      <c r="N20" s="12">
        <f t="shared" ref="N20:N22" si="3">IF(H20=0,0,L20/H20)</f>
        <v>0</v>
      </c>
      <c r="O20" s="10"/>
      <c r="P20" s="4">
        <f>SUM(OSRRefP25x_0)</f>
        <v>2700.47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2700.47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>0</f>
        <v>0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0</v>
      </c>
      <c r="M21" s="2"/>
      <c r="N21" s="22">
        <f t="shared" si="3"/>
        <v>0</v>
      </c>
      <c r="O21" s="11"/>
      <c r="P21" s="2">
        <f>--1701.82</f>
        <v>1701.82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1701.82</v>
      </c>
      <c r="Y21" s="2"/>
      <c r="Z21" s="22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>--173.47</f>
        <v>173.47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173.47</v>
      </c>
      <c r="M22" s="2"/>
      <c r="N22" s="22">
        <f t="shared" si="3"/>
        <v>0</v>
      </c>
      <c r="O22" s="11"/>
      <c r="P22" s="2">
        <f>--998.65</f>
        <v>998.65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998.65</v>
      </c>
      <c r="Y22" s="2"/>
      <c r="Z22" s="22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21">
        <f>+D16-D18+D20</f>
        <v>173.47</v>
      </c>
      <c r="E24" s="13"/>
      <c r="F24" s="20">
        <f>IF(D$12=0,0,D24/D$12)</f>
        <v>0</v>
      </c>
      <c r="G24" s="13"/>
      <c r="H24" s="21">
        <f>+H16-H18+H20</f>
        <v>0</v>
      </c>
      <c r="I24" s="13"/>
      <c r="J24" s="20">
        <f>IF(H$12=0,0,H24/H$12)</f>
        <v>0</v>
      </c>
      <c r="K24" s="16"/>
      <c r="L24" s="21">
        <f>+D24-H24</f>
        <v>173.47</v>
      </c>
      <c r="M24" s="16"/>
      <c r="N24" s="20">
        <f>IF(H24=0,0,L24/H24)</f>
        <v>0</v>
      </c>
      <c r="O24" s="26"/>
      <c r="P24" s="21">
        <f>+P16-P18+P20</f>
        <v>2700.47</v>
      </c>
      <c r="Q24" s="13"/>
      <c r="R24" s="20">
        <f>IF(P$12=0,0,P24/P$12)</f>
        <v>0</v>
      </c>
      <c r="S24" s="13"/>
      <c r="T24" s="21">
        <f>+T16-T18+T20</f>
        <v>0</v>
      </c>
      <c r="U24" s="13"/>
      <c r="V24" s="20">
        <f>IF(T$12=0,0,T24/T$12)</f>
        <v>0</v>
      </c>
      <c r="W24" s="16"/>
      <c r="X24" s="21">
        <f>+P24-T24</f>
        <v>2700.47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1">
        <f>+D24-D26</f>
        <v>173.47</v>
      </c>
      <c r="E28" s="13"/>
      <c r="F28" s="34">
        <f>IF(D$12=0,0,D28/D$12)</f>
        <v>0</v>
      </c>
      <c r="G28" s="13"/>
      <c r="H28" s="31">
        <f>+H24-H26</f>
        <v>0</v>
      </c>
      <c r="I28" s="13"/>
      <c r="J28" s="34">
        <f>IF(H$12=0,0,H28/H$12)</f>
        <v>0</v>
      </c>
      <c r="K28" s="16"/>
      <c r="L28" s="31">
        <f>D28-H28</f>
        <v>173.47</v>
      </c>
      <c r="M28" s="16"/>
      <c r="N28" s="34">
        <f>IF(H28=0,0,L28/H28)</f>
        <v>0</v>
      </c>
      <c r="O28" s="26"/>
      <c r="P28" s="31">
        <f>+P24-P26</f>
        <v>2700.47</v>
      </c>
      <c r="Q28" s="13"/>
      <c r="R28" s="34">
        <f>IF(P$12=0,0,P28/P$12)</f>
        <v>0</v>
      </c>
      <c r="S28" s="13"/>
      <c r="T28" s="31">
        <f>+T24-T26</f>
        <v>0</v>
      </c>
      <c r="U28" s="13"/>
      <c r="V28" s="34">
        <f>IF(T$12=0,0,T28/T$12)</f>
        <v>0</v>
      </c>
      <c r="W28" s="16"/>
      <c r="X28" s="31">
        <f>P28-T28</f>
        <v>2700.47</v>
      </c>
      <c r="Y28" s="16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SUM(D28:D30)</f>
        <v>173.47</v>
      </c>
      <c r="E31" s="13"/>
      <c r="F31" s="30">
        <f>IF(D$12=0,0,D31/D$12)</f>
        <v>0</v>
      </c>
      <c r="G31" s="13"/>
      <c r="H31" s="33">
        <f>SUM(H28:H30)</f>
        <v>0</v>
      </c>
      <c r="I31" s="13"/>
      <c r="J31" s="30">
        <f>IF(H$12=0,0,H31/H$12)</f>
        <v>0</v>
      </c>
      <c r="K31" s="16"/>
      <c r="L31" s="33">
        <f>+D31-H31</f>
        <v>173.47</v>
      </c>
      <c r="M31" s="16"/>
      <c r="N31" s="30">
        <f>IF(H31=0,0,L31/H31)</f>
        <v>0</v>
      </c>
      <c r="O31" s="26"/>
      <c r="P31" s="33">
        <f>SUM(P28:P30)</f>
        <v>2700.47</v>
      </c>
      <c r="Q31" s="13"/>
      <c r="R31" s="30">
        <f>IF(P$12=0,0,P31/P$12)</f>
        <v>0</v>
      </c>
      <c r="S31" s="13"/>
      <c r="T31" s="33">
        <f>SUM(T28:T30)</f>
        <v>0</v>
      </c>
      <c r="U31" s="13"/>
      <c r="V31" s="30">
        <f>IF(T$12=0,0,T31/T$12)</f>
        <v>0</v>
      </c>
      <c r="W31" s="16"/>
      <c r="X31" s="33">
        <f>+P31-T31</f>
        <v>2700.47</v>
      </c>
      <c r="Y31" s="16"/>
      <c r="Z31" s="30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5">
        <v>44174.68018880787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107759.14</v>
      </c>
      <c r="E12" s="4"/>
      <c r="F12" s="12"/>
      <c r="G12" s="4"/>
      <c r="H12" s="4">
        <f>SUM(OSRRefH13x_0)</f>
        <v>385075</v>
      </c>
      <c r="I12" s="4"/>
      <c r="J12" s="12"/>
      <c r="K12" s="4"/>
      <c r="L12" s="4">
        <f t="shared" ref="L12:L16" si="0">+D12-H12</f>
        <v>-277315.86</v>
      </c>
      <c r="M12" s="4"/>
      <c r="N12" s="12">
        <f t="shared" ref="N12:N16" si="1">IF(H12=0,0,L12/H12)</f>
        <v>-0.7201606440303836</v>
      </c>
      <c r="O12" s="10"/>
      <c r="P12" s="4">
        <f>SUM(OSRRefP13x_0)</f>
        <v>551420.94000000006</v>
      </c>
      <c r="Q12" s="4"/>
      <c r="R12" s="12"/>
      <c r="S12" s="4"/>
      <c r="T12" s="4">
        <f>SUM(OSRRefT13x_0)</f>
        <v>1535524</v>
      </c>
      <c r="U12" s="4"/>
      <c r="V12" s="12"/>
      <c r="W12" s="4"/>
      <c r="X12" s="4">
        <f t="shared" ref="X12:X16" si="2">+P12-T12</f>
        <v>-984103.05999999994</v>
      </c>
      <c r="Y12" s="4"/>
      <c r="Z12" s="12">
        <f t="shared" ref="Z12:Z16" si="3">IF(T12=0,0,X12/T12)</f>
        <v>-0.64089070571348927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--92.59</f>
        <v>92.59</v>
      </c>
      <c r="E13" s="2"/>
      <c r="F13" s="22"/>
      <c r="G13" s="2"/>
      <c r="H13" s="2"/>
      <c r="I13" s="2"/>
      <c r="J13" s="22"/>
      <c r="K13" s="2"/>
      <c r="L13" s="2">
        <f t="shared" si="0"/>
        <v>92.59</v>
      </c>
      <c r="M13" s="2"/>
      <c r="N13" s="22">
        <f t="shared" si="1"/>
        <v>0</v>
      </c>
      <c r="O13" s="11"/>
      <c r="P13" s="2">
        <f>--495.03</f>
        <v>495.03</v>
      </c>
      <c r="Q13" s="2"/>
      <c r="R13" s="22"/>
      <c r="S13" s="2"/>
      <c r="T13" s="2"/>
      <c r="U13" s="2"/>
      <c r="V13" s="22"/>
      <c r="W13" s="2"/>
      <c r="X13" s="2">
        <f t="shared" si="2"/>
        <v>495.03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385075</v>
      </c>
      <c r="I14" s="2"/>
      <c r="J14" s="22"/>
      <c r="K14" s="2"/>
      <c r="L14" s="2">
        <f t="shared" si="0"/>
        <v>-385075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1535524</v>
      </c>
      <c r="U14" s="2"/>
      <c r="V14" s="22"/>
      <c r="W14" s="2"/>
      <c r="X14" s="2">
        <f t="shared" si="2"/>
        <v>-1535524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--97309.27</f>
        <v>97309.27</v>
      </c>
      <c r="E15" s="2"/>
      <c r="F15" s="22"/>
      <c r="G15" s="2"/>
      <c r="H15" s="2"/>
      <c r="I15" s="2"/>
      <c r="J15" s="22"/>
      <c r="K15" s="2"/>
      <c r="L15" s="2">
        <f t="shared" si="0"/>
        <v>97309.27</v>
      </c>
      <c r="M15" s="2"/>
      <c r="N15" s="22">
        <f t="shared" si="1"/>
        <v>0</v>
      </c>
      <c r="O15" s="11"/>
      <c r="P15" s="2">
        <f>--524802.05</f>
        <v>524802.05000000005</v>
      </c>
      <c r="Q15" s="2"/>
      <c r="R15" s="22"/>
      <c r="S15" s="2"/>
      <c r="T15" s="2"/>
      <c r="U15" s="2"/>
      <c r="V15" s="22"/>
      <c r="W15" s="2"/>
      <c r="X15" s="2">
        <f t="shared" si="2"/>
        <v>524802.05000000005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--10357.28</f>
        <v>10357.280000000001</v>
      </c>
      <c r="E16" s="2"/>
      <c r="F16" s="22"/>
      <c r="G16" s="2"/>
      <c r="H16" s="2"/>
      <c r="I16" s="2"/>
      <c r="J16" s="22"/>
      <c r="K16" s="2"/>
      <c r="L16" s="2">
        <f t="shared" si="0"/>
        <v>10357.280000000001</v>
      </c>
      <c r="M16" s="2"/>
      <c r="N16" s="22">
        <f t="shared" si="1"/>
        <v>0</v>
      </c>
      <c r="O16" s="11"/>
      <c r="P16" s="2">
        <f>--26123.86</f>
        <v>26123.86</v>
      </c>
      <c r="Q16" s="2"/>
      <c r="R16" s="22"/>
      <c r="S16" s="2"/>
      <c r="T16" s="2"/>
      <c r="U16" s="2"/>
      <c r="V16" s="22"/>
      <c r="W16" s="2"/>
      <c r="X16" s="2">
        <f t="shared" si="2"/>
        <v>26123.86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41258.25</v>
      </c>
      <c r="E18" s="4"/>
      <c r="F18" s="12">
        <f t="shared" ref="F18:F21" si="4">IF(D$12=0,0,D18/D$12)</f>
        <v>0.38287471485017421</v>
      </c>
      <c r="G18" s="4"/>
      <c r="H18" s="4">
        <f>SUM(OSRRefH16x_0)</f>
        <v>98465</v>
      </c>
      <c r="I18" s="4"/>
      <c r="J18" s="12">
        <f t="shared" ref="J18:J21" si="5">IF(H$12=0,0,H18/H$12)</f>
        <v>0.25570343439589688</v>
      </c>
      <c r="K18" s="4"/>
      <c r="L18" s="4">
        <f t="shared" ref="L18:L21" si="6">+D18-H18</f>
        <v>-57206.75</v>
      </c>
      <c r="M18" s="4"/>
      <c r="N18" s="12">
        <f t="shared" ref="N18:N21" si="7">IF(H18=0,0,L18/H18)</f>
        <v>-0.58098562941146603</v>
      </c>
      <c r="O18" s="10"/>
      <c r="P18" s="4">
        <f>SUM(OSRRefP16x_0)</f>
        <v>216253.02000000002</v>
      </c>
      <c r="Q18" s="4"/>
      <c r="R18" s="12">
        <f t="shared" ref="R18:R21" si="8">IF(P$12=0,0,P18/P$12)</f>
        <v>0.39217411656510542</v>
      </c>
      <c r="S18" s="4"/>
      <c r="T18" s="4">
        <f>SUM(OSRRefT16x_0)</f>
        <v>418477</v>
      </c>
      <c r="U18" s="4"/>
      <c r="V18" s="12">
        <f t="shared" ref="V18:V21" si="9">IF(T$12=0,0,T18/T$12)</f>
        <v>0.27253041958315205</v>
      </c>
      <c r="W18" s="4"/>
      <c r="X18" s="4">
        <f t="shared" ref="X18:X21" si="10">+P18-T18</f>
        <v>-202223.97999999998</v>
      </c>
      <c r="Y18" s="4"/>
      <c r="Z18" s="12">
        <f t="shared" ref="Z18:Z21" si="11">IF(T18=0,0,X18/T18)</f>
        <v>-0.48323797962612036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98465</v>
      </c>
      <c r="I19" s="2"/>
      <c r="J19" s="22">
        <f t="shared" si="5"/>
        <v>0.25570343439589688</v>
      </c>
      <c r="K19" s="2"/>
      <c r="L19" s="2">
        <f t="shared" si="6"/>
        <v>-98465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418477</v>
      </c>
      <c r="U19" s="2"/>
      <c r="V19" s="22">
        <f t="shared" si="9"/>
        <v>0.27253041958315205</v>
      </c>
      <c r="W19" s="2"/>
      <c r="X19" s="2">
        <f t="shared" si="10"/>
        <v>-418477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37703.25</v>
      </c>
      <c r="E20" s="2"/>
      <c r="F20" s="22">
        <f t="shared" si="4"/>
        <v>0.3498844738367437</v>
      </c>
      <c r="G20" s="2"/>
      <c r="H20" s="2"/>
      <c r="I20" s="2"/>
      <c r="J20" s="22">
        <f t="shared" si="5"/>
        <v>0</v>
      </c>
      <c r="K20" s="2"/>
      <c r="L20" s="2">
        <f t="shared" si="6"/>
        <v>37703.25</v>
      </c>
      <c r="M20" s="2"/>
      <c r="N20" s="22">
        <f t="shared" si="7"/>
        <v>0</v>
      </c>
      <c r="O20" s="11"/>
      <c r="P20" s="2">
        <v>223610.7</v>
      </c>
      <c r="Q20" s="2"/>
      <c r="R20" s="22">
        <f t="shared" si="8"/>
        <v>0.40551724423087737</v>
      </c>
      <c r="S20" s="2"/>
      <c r="T20" s="2"/>
      <c r="U20" s="2"/>
      <c r="V20" s="22">
        <f t="shared" si="9"/>
        <v>0</v>
      </c>
      <c r="W20" s="2"/>
      <c r="X20" s="2">
        <f t="shared" si="10"/>
        <v>223610.7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3555</v>
      </c>
      <c r="E21" s="2"/>
      <c r="F21" s="22">
        <f t="shared" si="4"/>
        <v>3.299024101343051E-2</v>
      </c>
      <c r="G21" s="2"/>
      <c r="H21" s="2"/>
      <c r="I21" s="2"/>
      <c r="J21" s="22">
        <f t="shared" si="5"/>
        <v>0</v>
      </c>
      <c r="K21" s="2"/>
      <c r="L21" s="2">
        <f t="shared" si="6"/>
        <v>3555</v>
      </c>
      <c r="M21" s="2"/>
      <c r="N21" s="22">
        <f t="shared" si="7"/>
        <v>0</v>
      </c>
      <c r="O21" s="11"/>
      <c r="P21" s="2">
        <v>-7357.68</v>
      </c>
      <c r="Q21" s="2"/>
      <c r="R21" s="22">
        <f t="shared" si="8"/>
        <v>-1.3343127665771995E-2</v>
      </c>
      <c r="S21" s="2"/>
      <c r="T21" s="2"/>
      <c r="U21" s="2"/>
      <c r="V21" s="22">
        <f t="shared" si="9"/>
        <v>0</v>
      </c>
      <c r="W21" s="2"/>
      <c r="X21" s="2">
        <f t="shared" si="10"/>
        <v>-7357.68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66500.89</v>
      </c>
      <c r="E23" s="13"/>
      <c r="F23" s="20">
        <f>IF(D$12=0,0,D23/D$12)</f>
        <v>0.61712528514982579</v>
      </c>
      <c r="G23" s="13"/>
      <c r="H23" s="21">
        <f>H12-H18</f>
        <v>286610</v>
      </c>
      <c r="I23" s="13"/>
      <c r="J23" s="20">
        <f>IF(H$12=0,0,H23/H$12)</f>
        <v>0.74429656560410307</v>
      </c>
      <c r="K23" s="16"/>
      <c r="L23" s="21">
        <f>+D23-H23</f>
        <v>-220109.11</v>
      </c>
      <c r="M23" s="16"/>
      <c r="N23" s="20">
        <f>IF(H23=0,0,L23/H23)</f>
        <v>-0.76797428561459824</v>
      </c>
      <c r="O23" s="26"/>
      <c r="P23" s="21">
        <f>P12-P18</f>
        <v>335167.92000000004</v>
      </c>
      <c r="Q23" s="13"/>
      <c r="R23" s="20">
        <f>IF(P$12=0,0,P23/P$12)</f>
        <v>0.60782588343489463</v>
      </c>
      <c r="S23" s="13"/>
      <c r="T23" s="21">
        <f>T12-T18</f>
        <v>1117047</v>
      </c>
      <c r="U23" s="13"/>
      <c r="V23" s="20">
        <f>IF(T$12=0,0,T23/T$12)</f>
        <v>0.72746958041684795</v>
      </c>
      <c r="W23" s="16"/>
      <c r="X23" s="21">
        <f>+P23-T23</f>
        <v>-781879.08</v>
      </c>
      <c r="Y23" s="16"/>
      <c r="Z23" s="20">
        <f>IF(T23=0,0,X23/T23)</f>
        <v>-0.69995181939524476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241157.64999999997</v>
      </c>
      <c r="E25" s="19"/>
      <c r="F25" s="35">
        <f t="shared" ref="F25:F36" si="12">IF(D$12=0,0,D25/D$12)</f>
        <v>2.2379322069571077</v>
      </c>
      <c r="G25" s="19"/>
      <c r="H25" s="19">
        <f>SUM(OSRRefH22x_0)</f>
        <v>363688.76968387619</v>
      </c>
      <c r="I25" s="19"/>
      <c r="J25" s="35">
        <f t="shared" ref="J25:J36" si="13">IF(H$12=0,0,H25/H$12)</f>
        <v>0.944462168886259</v>
      </c>
      <c r="K25" s="4"/>
      <c r="L25" s="19">
        <f t="shared" ref="L25:L36" si="14">+D25-H25</f>
        <v>-122531.11968387623</v>
      </c>
      <c r="M25" s="4"/>
      <c r="N25" s="35">
        <f t="shared" ref="N25:N36" si="15">IF(H25=0,0,L25/H25)</f>
        <v>-0.3369120245048593</v>
      </c>
      <c r="O25" s="10"/>
      <c r="P25" s="19">
        <f>SUM(OSRRefP22x_0)</f>
        <v>1154993.0899999999</v>
      </c>
      <c r="Q25" s="19"/>
      <c r="R25" s="35">
        <f t="shared" ref="R25:R36" si="16">IF(P$12=0,0,P25/P$12)</f>
        <v>2.0945760420342392</v>
      </c>
      <c r="S25" s="19"/>
      <c r="T25" s="19">
        <f>SUM(OSRRefT22x_0)</f>
        <v>1760317.0914321938</v>
      </c>
      <c r="U25" s="19"/>
      <c r="V25" s="35">
        <f t="shared" ref="V25:V36" si="17">IF(T$12=0,0,T25/T$12)</f>
        <v>1.1463950361128799</v>
      </c>
      <c r="W25" s="4"/>
      <c r="X25" s="19">
        <f t="shared" ref="X25:X36" si="18">+P25-T25</f>
        <v>-605324.00143219391</v>
      </c>
      <c r="Y25" s="4"/>
      <c r="Z25" s="35">
        <f t="shared" ref="Z25:Z36" si="19">IF(T25=0,0,X25/T25)</f>
        <v>-0.34387213779745918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81500.98</v>
      </c>
      <c r="E26" s="1"/>
      <c r="F26" s="5">
        <f t="shared" si="12"/>
        <v>0.75632544951639369</v>
      </c>
      <c r="G26" s="1"/>
      <c r="H26" s="1">
        <f>SUM(OSRRefH22_0x_0)</f>
        <v>98194.879140414647</v>
      </c>
      <c r="I26" s="1"/>
      <c r="J26" s="5">
        <f t="shared" si="13"/>
        <v>0.25500195842476048</v>
      </c>
      <c r="K26" s="1"/>
      <c r="L26" s="1">
        <f t="shared" si="14"/>
        <v>-16693.899140414651</v>
      </c>
      <c r="M26" s="1"/>
      <c r="N26" s="5">
        <f t="shared" si="15"/>
        <v>-0.17000783835726363</v>
      </c>
      <c r="O26" s="14"/>
      <c r="P26" s="1">
        <f>SUM(OSRRefP22_0x_0)</f>
        <v>388275.54</v>
      </c>
      <c r="Q26" s="1"/>
      <c r="R26" s="5">
        <f t="shared" si="16"/>
        <v>0.70413637175258514</v>
      </c>
      <c r="S26" s="1"/>
      <c r="T26" s="1">
        <f>SUM(OSRRefT22_0x_0)</f>
        <v>522197.52307065536</v>
      </c>
      <c r="U26" s="1"/>
      <c r="V26" s="5">
        <f t="shared" si="17"/>
        <v>0.34007773442203143</v>
      </c>
      <c r="W26" s="1"/>
      <c r="X26" s="1">
        <f t="shared" si="18"/>
        <v>-133921.98307065538</v>
      </c>
      <c r="Y26" s="1"/>
      <c r="Z26" s="5">
        <f t="shared" si="19"/>
        <v>-0.25645848008462346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7743.08</v>
      </c>
      <c r="E27" s="2"/>
      <c r="F27" s="7">
        <f t="shared" si="12"/>
        <v>7.1855436114282273E-2</v>
      </c>
      <c r="G27" s="2"/>
      <c r="H27" s="6">
        <v>10035.76913235692</v>
      </c>
      <c r="I27" s="2"/>
      <c r="J27" s="7">
        <f t="shared" si="13"/>
        <v>2.6061855826415424E-2</v>
      </c>
      <c r="K27" s="2"/>
      <c r="L27" s="6">
        <f t="shared" si="14"/>
        <v>-2292.6891323569198</v>
      </c>
      <c r="M27" s="2"/>
      <c r="N27" s="7">
        <f t="shared" si="15"/>
        <v>-0.22845176110766882</v>
      </c>
      <c r="O27" s="11"/>
      <c r="P27" s="6">
        <v>41925.839999999997</v>
      </c>
      <c r="Q27" s="2"/>
      <c r="R27" s="7">
        <f t="shared" si="16"/>
        <v>7.6032368302879447E-2</v>
      </c>
      <c r="S27" s="2"/>
      <c r="T27" s="6">
        <v>54813.544517963062</v>
      </c>
      <c r="U27" s="2"/>
      <c r="V27" s="7">
        <f t="shared" si="17"/>
        <v>3.5696963719201433E-2</v>
      </c>
      <c r="W27" s="2"/>
      <c r="X27" s="6">
        <f t="shared" si="18"/>
        <v>-12887.704517963066</v>
      </c>
      <c r="Y27" s="2"/>
      <c r="Z27" s="7">
        <f t="shared" si="19"/>
        <v>-0.23511897709405763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8283.3700000000008</v>
      </c>
      <c r="E28" s="2"/>
      <c r="F28" s="7">
        <f t="shared" si="12"/>
        <v>7.6869303151454266E-2</v>
      </c>
      <c r="G28" s="2"/>
      <c r="H28" s="6">
        <v>7335.4915738499994</v>
      </c>
      <c r="I28" s="2"/>
      <c r="J28" s="7">
        <f t="shared" si="13"/>
        <v>1.9049513922872165E-2</v>
      </c>
      <c r="K28" s="2"/>
      <c r="L28" s="6">
        <f t="shared" si="14"/>
        <v>947.87842615000136</v>
      </c>
      <c r="M28" s="2"/>
      <c r="N28" s="7">
        <f t="shared" si="15"/>
        <v>0.12921811941398109</v>
      </c>
      <c r="O28" s="11"/>
      <c r="P28" s="6">
        <v>25824</v>
      </c>
      <c r="Q28" s="2"/>
      <c r="R28" s="7">
        <f t="shared" si="16"/>
        <v>4.683173620501245E-2</v>
      </c>
      <c r="S28" s="2"/>
      <c r="T28" s="6">
        <v>36906.881451000001</v>
      </c>
      <c r="U28" s="2"/>
      <c r="V28" s="7">
        <f t="shared" si="17"/>
        <v>2.4035366071126208E-2</v>
      </c>
      <c r="W28" s="2"/>
      <c r="X28" s="6">
        <f t="shared" si="18"/>
        <v>-11082.881451000001</v>
      </c>
      <c r="Y28" s="2"/>
      <c r="Z28" s="7">
        <f t="shared" si="19"/>
        <v>-0.30029308939890687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45706.28</v>
      </c>
      <c r="E29" s="2"/>
      <c r="F29" s="7">
        <f t="shared" si="12"/>
        <v>0.42415223432555232</v>
      </c>
      <c r="G29" s="2"/>
      <c r="H29" s="6">
        <v>59594.230769230795</v>
      </c>
      <c r="I29" s="2"/>
      <c r="J29" s="7">
        <f t="shared" si="13"/>
        <v>0.15476006172623721</v>
      </c>
      <c r="K29" s="2"/>
      <c r="L29" s="6">
        <f t="shared" si="14"/>
        <v>-13887.950769230796</v>
      </c>
      <c r="M29" s="2"/>
      <c r="N29" s="7">
        <f t="shared" si="15"/>
        <v>-0.23304186646874733</v>
      </c>
      <c r="O29" s="11"/>
      <c r="P29" s="6">
        <v>221885.63</v>
      </c>
      <c r="Q29" s="2"/>
      <c r="R29" s="7">
        <f t="shared" si="16"/>
        <v>0.40238883565067368</v>
      </c>
      <c r="S29" s="2"/>
      <c r="T29" s="6">
        <v>318165.76923076919</v>
      </c>
      <c r="U29" s="2"/>
      <c r="V29" s="7">
        <f t="shared" si="17"/>
        <v>0.2072033841416801</v>
      </c>
      <c r="W29" s="2"/>
      <c r="X29" s="6">
        <f t="shared" si="18"/>
        <v>-96280.139230769186</v>
      </c>
      <c r="Y29" s="2"/>
      <c r="Z29" s="7">
        <f t="shared" si="19"/>
        <v>-0.30260998681142259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502.02</v>
      </c>
      <c r="E30" s="2"/>
      <c r="F30" s="7">
        <f t="shared" si="12"/>
        <v>4.6587231486814014E-3</v>
      </c>
      <c r="G30" s="2"/>
      <c r="H30" s="6">
        <v>444.57524690000002</v>
      </c>
      <c r="I30" s="2"/>
      <c r="J30" s="7">
        <f t="shared" si="13"/>
        <v>1.1545159953255859E-3</v>
      </c>
      <c r="K30" s="2"/>
      <c r="L30" s="6">
        <f t="shared" si="14"/>
        <v>57.444753099999957</v>
      </c>
      <c r="M30" s="2"/>
      <c r="N30" s="7">
        <f t="shared" si="15"/>
        <v>0.1292126664733568</v>
      </c>
      <c r="O30" s="11"/>
      <c r="P30" s="6">
        <v>1645.86</v>
      </c>
      <c r="Q30" s="2"/>
      <c r="R30" s="7">
        <f t="shared" si="16"/>
        <v>2.9847615144974358E-3</v>
      </c>
      <c r="S30" s="2"/>
      <c r="T30" s="6">
        <v>2236.780694</v>
      </c>
      <c r="U30" s="2"/>
      <c r="V30" s="7">
        <f t="shared" si="17"/>
        <v>1.4566888527955278E-3</v>
      </c>
      <c r="W30" s="2"/>
      <c r="X30" s="6">
        <f t="shared" si="18"/>
        <v>-590.92069400000014</v>
      </c>
      <c r="Y30" s="2"/>
      <c r="Z30" s="7">
        <f t="shared" si="19"/>
        <v>-0.26418356327247527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4246.5200000000004</v>
      </c>
      <c r="E31" s="2"/>
      <c r="F31" s="7">
        <f t="shared" si="12"/>
        <v>3.9407515687300401E-2</v>
      </c>
      <c r="G31" s="2"/>
      <c r="H31" s="6">
        <v>4603.1433846153923</v>
      </c>
      <c r="I31" s="2"/>
      <c r="J31" s="7">
        <f t="shared" si="13"/>
        <v>1.1953887903954795E-2</v>
      </c>
      <c r="K31" s="2"/>
      <c r="L31" s="6">
        <f t="shared" si="14"/>
        <v>-356.62338461539184</v>
      </c>
      <c r="M31" s="2"/>
      <c r="N31" s="7">
        <f t="shared" si="15"/>
        <v>-7.7473881393157792E-2</v>
      </c>
      <c r="O31" s="11"/>
      <c r="P31" s="6">
        <v>20146.68</v>
      </c>
      <c r="Q31" s="2"/>
      <c r="R31" s="7">
        <f t="shared" si="16"/>
        <v>3.6535935686446724E-2</v>
      </c>
      <c r="S31" s="2"/>
      <c r="T31" s="6">
        <v>25317.288615384656</v>
      </c>
      <c r="U31" s="2"/>
      <c r="V31" s="7">
        <f t="shared" si="17"/>
        <v>1.648771925113815E-2</v>
      </c>
      <c r="W31" s="2"/>
      <c r="X31" s="6">
        <f t="shared" si="18"/>
        <v>-5170.6086153846554</v>
      </c>
      <c r="Y31" s="2"/>
      <c r="Z31" s="7">
        <f t="shared" si="19"/>
        <v>-0.20423232100149191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6">
        <v>1420.55</v>
      </c>
      <c r="E33" s="2"/>
      <c r="F33" s="7">
        <f t="shared" si="12"/>
        <v>1.3182640470219045E-2</v>
      </c>
      <c r="G33" s="2"/>
      <c r="H33" s="6"/>
      <c r="I33" s="2"/>
      <c r="J33" s="7">
        <f t="shared" si="13"/>
        <v>0</v>
      </c>
      <c r="K33" s="2"/>
      <c r="L33" s="6">
        <f t="shared" si="14"/>
        <v>1420.55</v>
      </c>
      <c r="M33" s="2"/>
      <c r="N33" s="7">
        <f t="shared" si="15"/>
        <v>0</v>
      </c>
      <c r="O33" s="11"/>
      <c r="P33" s="6">
        <v>7686.86</v>
      </c>
      <c r="Q33" s="2"/>
      <c r="R33" s="7">
        <f t="shared" si="16"/>
        <v>1.3940094476644283E-2</v>
      </c>
      <c r="S33" s="2"/>
      <c r="T33" s="6"/>
      <c r="U33" s="2"/>
      <c r="V33" s="7">
        <f t="shared" si="17"/>
        <v>0</v>
      </c>
      <c r="W33" s="2"/>
      <c r="X33" s="6">
        <f t="shared" si="18"/>
        <v>7686.86</v>
      </c>
      <c r="Y33" s="2"/>
      <c r="Z33" s="7">
        <f t="shared" si="19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>
        <v>6577.6</v>
      </c>
      <c r="E34" s="2"/>
      <c r="F34" s="7">
        <f t="shared" si="12"/>
        <v>6.1039833836832778E-2</v>
      </c>
      <c r="G34" s="2"/>
      <c r="H34" s="6">
        <v>6756.0878769230803</v>
      </c>
      <c r="I34" s="2"/>
      <c r="J34" s="7">
        <f t="shared" si="13"/>
        <v>1.7544862369468495E-2</v>
      </c>
      <c r="K34" s="2"/>
      <c r="L34" s="6">
        <f t="shared" si="14"/>
        <v>-178.48787692307997</v>
      </c>
      <c r="M34" s="2"/>
      <c r="N34" s="7">
        <f t="shared" si="15"/>
        <v>-2.6418821095081514E-2</v>
      </c>
      <c r="O34" s="11"/>
      <c r="P34" s="6">
        <v>33623.26</v>
      </c>
      <c r="Q34" s="2"/>
      <c r="R34" s="7">
        <f t="shared" si="16"/>
        <v>6.0975667699525518E-2</v>
      </c>
      <c r="S34" s="2"/>
      <c r="T34" s="6">
        <v>37158.483323076922</v>
      </c>
      <c r="U34" s="2"/>
      <c r="V34" s="7">
        <f t="shared" si="17"/>
        <v>2.4199220150956234E-2</v>
      </c>
      <c r="W34" s="2"/>
      <c r="X34" s="6">
        <f t="shared" si="18"/>
        <v>-3535.2233230769198</v>
      </c>
      <c r="Y34" s="2"/>
      <c r="Z34" s="7">
        <f t="shared" si="19"/>
        <v>-9.513906400160857E-2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>
        <v>4207.78</v>
      </c>
      <c r="E35" s="2"/>
      <c r="F35" s="7">
        <f t="shared" si="12"/>
        <v>3.9048010219829149E-2</v>
      </c>
      <c r="G35" s="2"/>
      <c r="H35" s="6">
        <v>5750.5811565384602</v>
      </c>
      <c r="I35" s="2"/>
      <c r="J35" s="7">
        <f t="shared" si="13"/>
        <v>1.4933665276993989E-2</v>
      </c>
      <c r="K35" s="2"/>
      <c r="L35" s="6">
        <f t="shared" si="14"/>
        <v>-1542.8011565384604</v>
      </c>
      <c r="M35" s="2"/>
      <c r="N35" s="7">
        <f t="shared" si="15"/>
        <v>-0.26828612874792357</v>
      </c>
      <c r="O35" s="11"/>
      <c r="P35" s="6">
        <v>22456.449999999997</v>
      </c>
      <c r="Q35" s="2"/>
      <c r="R35" s="7">
        <f t="shared" si="16"/>
        <v>4.0724695728820155E-2</v>
      </c>
      <c r="S35" s="2"/>
      <c r="T35" s="6">
        <v>29223.77523846152</v>
      </c>
      <c r="U35" s="2"/>
      <c r="V35" s="7">
        <f t="shared" si="17"/>
        <v>1.903179321095699E-2</v>
      </c>
      <c r="W35" s="2"/>
      <c r="X35" s="6">
        <f t="shared" si="18"/>
        <v>-6767.3252384615225</v>
      </c>
      <c r="Y35" s="2"/>
      <c r="Z35" s="7">
        <f t="shared" si="19"/>
        <v>-0.23156916528549742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6">
        <v>2813.78</v>
      </c>
      <c r="E36" s="2"/>
      <c r="F36" s="7">
        <f t="shared" si="12"/>
        <v>2.6111752562242053E-2</v>
      </c>
      <c r="G36" s="2"/>
      <c r="H36" s="6">
        <v>3675</v>
      </c>
      <c r="I36" s="2"/>
      <c r="J36" s="7">
        <f t="shared" si="13"/>
        <v>9.5435954034928262E-3</v>
      </c>
      <c r="K36" s="2"/>
      <c r="L36" s="6">
        <f t="shared" si="14"/>
        <v>-861.2199999999998</v>
      </c>
      <c r="M36" s="2"/>
      <c r="N36" s="7">
        <f t="shared" si="15"/>
        <v>-0.23434557823129246</v>
      </c>
      <c r="O36" s="11"/>
      <c r="P36" s="6">
        <v>13080.96</v>
      </c>
      <c r="Q36" s="2"/>
      <c r="R36" s="7">
        <f t="shared" si="16"/>
        <v>2.3722276488085486E-2</v>
      </c>
      <c r="S36" s="2"/>
      <c r="T36" s="6">
        <v>18375</v>
      </c>
      <c r="U36" s="2"/>
      <c r="V36" s="7">
        <f t="shared" si="17"/>
        <v>1.1966599024176763E-2</v>
      </c>
      <c r="W36" s="2"/>
      <c r="X36" s="6">
        <f t="shared" si="18"/>
        <v>-5294.0400000000009</v>
      </c>
      <c r="Y36" s="2"/>
      <c r="Z36" s="7">
        <f t="shared" si="19"/>
        <v>-0.28811102040816333</v>
      </c>
    </row>
    <row r="37" spans="1:26" s="29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109638.76</v>
      </c>
      <c r="E37" s="1"/>
      <c r="F37" s="5">
        <f t="shared" ref="F37:F47" si="20">IF(D$12=0,0,D37/D$12)</f>
        <v>1.0174427895397087</v>
      </c>
      <c r="G37" s="1"/>
      <c r="H37" s="1">
        <f>SUM(OSRRefH22_1x_0)</f>
        <v>159153.89054346154</v>
      </c>
      <c r="I37" s="1"/>
      <c r="J37" s="5">
        <f t="shared" ref="J37:J47" si="21">IF(H$12=0,0,H37/H$12)</f>
        <v>0.41330621448668842</v>
      </c>
      <c r="K37" s="1"/>
      <c r="L37" s="1">
        <f t="shared" ref="L37:L47" si="22">+D37-H37</f>
        <v>-49515.13054346155</v>
      </c>
      <c r="M37" s="1"/>
      <c r="N37" s="5">
        <f t="shared" ref="N37:N47" si="23">IF(H37=0,0,L37/H37)</f>
        <v>-0.3111147982269401</v>
      </c>
      <c r="O37" s="14"/>
      <c r="P37" s="1">
        <f>SUM(OSRRefP22_1x_0)</f>
        <v>547950.43999999994</v>
      </c>
      <c r="Q37" s="1"/>
      <c r="R37" s="5">
        <f t="shared" ref="R37:R47" si="24">IF(P$12=0,0,P37/P$12)</f>
        <v>0.99370626004881113</v>
      </c>
      <c r="S37" s="1"/>
      <c r="T37" s="1">
        <f>SUM(OSRRefT22_1x_0)</f>
        <v>796289.56836153835</v>
      </c>
      <c r="U37" s="1"/>
      <c r="V37" s="5">
        <f t="shared" ref="V37:V47" si="25">IF(T$12=0,0,T37/T$12)</f>
        <v>0.51857839301862974</v>
      </c>
      <c r="W37" s="1"/>
      <c r="X37" s="1">
        <f t="shared" ref="X37:X47" si="26">+P37-T37</f>
        <v>-248339.1283615384</v>
      </c>
      <c r="Y37" s="1"/>
      <c r="Z37" s="5">
        <f t="shared" ref="Z37:Z47" si="27">IF(T37=0,0,X37/T37)</f>
        <v>-0.31187037759709202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>
        <v>8511.56</v>
      </c>
      <c r="E38" s="2"/>
      <c r="F38" s="7">
        <f t="shared" si="20"/>
        <v>7.8986896146350086E-2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8511.56</v>
      </c>
      <c r="M38" s="2"/>
      <c r="N38" s="7">
        <f t="shared" si="23"/>
        <v>0</v>
      </c>
      <c r="O38" s="11"/>
      <c r="P38" s="6">
        <v>45245.67</v>
      </c>
      <c r="Q38" s="2"/>
      <c r="R38" s="7">
        <f t="shared" si="24"/>
        <v>8.2052868721307529E-2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45245.67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23741.200000000001</v>
      </c>
      <c r="E39" s="2"/>
      <c r="F39" s="7">
        <f t="shared" si="20"/>
        <v>0.22031727424699196</v>
      </c>
      <c r="G39" s="2"/>
      <c r="H39" s="6">
        <v>48283.721538461541</v>
      </c>
      <c r="I39" s="2"/>
      <c r="J39" s="7">
        <f t="shared" si="21"/>
        <v>0.1253878375341467</v>
      </c>
      <c r="K39" s="2"/>
      <c r="L39" s="6">
        <f t="shared" si="22"/>
        <v>-24542.52153846154</v>
      </c>
      <c r="M39" s="2"/>
      <c r="N39" s="7">
        <f t="shared" si="23"/>
        <v>-0.50829805069834177</v>
      </c>
      <c r="O39" s="11"/>
      <c r="P39" s="6">
        <v>145295.80000000002</v>
      </c>
      <c r="Q39" s="2"/>
      <c r="R39" s="7">
        <f t="shared" si="24"/>
        <v>0.26349343933148422</v>
      </c>
      <c r="S39" s="2"/>
      <c r="T39" s="6">
        <v>265560.46846153843</v>
      </c>
      <c r="U39" s="2"/>
      <c r="V39" s="7">
        <f t="shared" si="25"/>
        <v>0.17294452477560651</v>
      </c>
      <c r="W39" s="2"/>
      <c r="X39" s="6">
        <f t="shared" si="26"/>
        <v>-120264.66846153841</v>
      </c>
      <c r="Y39" s="2"/>
      <c r="Z39" s="7">
        <f t="shared" si="27"/>
        <v>-0.45287112633240645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6">
        <v>47514.369999999995</v>
      </c>
      <c r="E41" s="2"/>
      <c r="F41" s="7">
        <f t="shared" si="20"/>
        <v>0.4409312286642228</v>
      </c>
      <c r="G41" s="2"/>
      <c r="H41" s="6">
        <v>71874.449919999999</v>
      </c>
      <c r="I41" s="2"/>
      <c r="J41" s="7">
        <f t="shared" si="21"/>
        <v>0.18665052241771082</v>
      </c>
      <c r="K41" s="2"/>
      <c r="L41" s="6">
        <f t="shared" si="22"/>
        <v>-24360.079920000004</v>
      </c>
      <c r="M41" s="2"/>
      <c r="N41" s="7">
        <f t="shared" si="23"/>
        <v>-0.33892544495455673</v>
      </c>
      <c r="O41" s="11"/>
      <c r="P41" s="6">
        <v>238862.05999999997</v>
      </c>
      <c r="Q41" s="2"/>
      <c r="R41" s="7">
        <f t="shared" si="24"/>
        <v>0.43317553374015855</v>
      </c>
      <c r="S41" s="2"/>
      <c r="T41" s="6">
        <v>376013.47456</v>
      </c>
      <c r="U41" s="2"/>
      <c r="V41" s="7">
        <f t="shared" si="25"/>
        <v>0.24487632531956519</v>
      </c>
      <c r="W41" s="2"/>
      <c r="X41" s="6">
        <f t="shared" si="26"/>
        <v>-137151.41456000003</v>
      </c>
      <c r="Y41" s="2"/>
      <c r="Z41" s="7">
        <f t="shared" si="27"/>
        <v>-0.36475132897960805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>
        <v>12819.28</v>
      </c>
      <c r="E42" s="2"/>
      <c r="F42" s="7">
        <f t="shared" si="20"/>
        <v>0.11896234509666652</v>
      </c>
      <c r="G42" s="2"/>
      <c r="H42" s="6">
        <v>8682.8390849999996</v>
      </c>
      <c r="I42" s="2"/>
      <c r="J42" s="7">
        <f t="shared" si="21"/>
        <v>2.2548436239693565E-2</v>
      </c>
      <c r="K42" s="2"/>
      <c r="L42" s="6">
        <f t="shared" si="22"/>
        <v>4136.440915000001</v>
      </c>
      <c r="M42" s="2"/>
      <c r="N42" s="7">
        <f t="shared" si="23"/>
        <v>0.47639267231681065</v>
      </c>
      <c r="O42" s="11"/>
      <c r="P42" s="6">
        <v>50543.09</v>
      </c>
      <c r="Q42" s="2"/>
      <c r="R42" s="7">
        <f t="shared" si="24"/>
        <v>9.1659721881435965E-2</v>
      </c>
      <c r="S42" s="2"/>
      <c r="T42" s="6">
        <v>34823.215339999995</v>
      </c>
      <c r="U42" s="2"/>
      <c r="V42" s="7">
        <f t="shared" si="25"/>
        <v>2.2678392092862109E-2</v>
      </c>
      <c r="W42" s="2"/>
      <c r="X42" s="6">
        <f t="shared" si="26"/>
        <v>15719.874660000001</v>
      </c>
      <c r="Y42" s="2"/>
      <c r="Z42" s="7">
        <f t="shared" si="27"/>
        <v>0.45141939095851463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>
        <v>15212.46</v>
      </c>
      <c r="E44" s="2"/>
      <c r="F44" s="7">
        <f t="shared" si="20"/>
        <v>0.14117094846896514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15212.46</v>
      </c>
      <c r="M44" s="2"/>
      <c r="N44" s="7">
        <f t="shared" si="23"/>
        <v>0</v>
      </c>
      <c r="O44" s="11"/>
      <c r="P44" s="6">
        <v>58468.97</v>
      </c>
      <c r="Q44" s="2"/>
      <c r="R44" s="7">
        <f t="shared" si="24"/>
        <v>0.10603327831547346</v>
      </c>
      <c r="S44" s="2"/>
      <c r="T44" s="6">
        <v>13860.33</v>
      </c>
      <c r="U44" s="2"/>
      <c r="V44" s="7">
        <f t="shared" si="25"/>
        <v>9.0264496028717237E-3</v>
      </c>
      <c r="W44" s="2"/>
      <c r="X44" s="6">
        <f t="shared" si="26"/>
        <v>44608.639999999999</v>
      </c>
      <c r="Y44" s="2"/>
      <c r="Z44" s="7">
        <f t="shared" si="27"/>
        <v>3.2184399649936184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6">
        <v>1839.89</v>
      </c>
      <c r="E45" s="2"/>
      <c r="F45" s="7">
        <f t="shared" si="20"/>
        <v>1.7074096916512141E-2</v>
      </c>
      <c r="G45" s="2"/>
      <c r="H45" s="6">
        <v>30312.880000000001</v>
      </c>
      <c r="I45" s="2"/>
      <c r="J45" s="7">
        <f t="shared" si="21"/>
        <v>7.8719418295137317E-2</v>
      </c>
      <c r="K45" s="2"/>
      <c r="L45" s="6">
        <f t="shared" si="22"/>
        <v>-28472.99</v>
      </c>
      <c r="M45" s="2"/>
      <c r="N45" s="7">
        <f t="shared" si="23"/>
        <v>-0.93930335883624394</v>
      </c>
      <c r="O45" s="11"/>
      <c r="P45" s="6">
        <v>9534.85</v>
      </c>
      <c r="Q45" s="2"/>
      <c r="R45" s="7">
        <f t="shared" si="24"/>
        <v>1.7291418058951478E-2</v>
      </c>
      <c r="S45" s="2"/>
      <c r="T45" s="6">
        <v>106032.08</v>
      </c>
      <c r="U45" s="2"/>
      <c r="V45" s="7">
        <f t="shared" si="25"/>
        <v>6.9052701227724222E-2</v>
      </c>
      <c r="W45" s="2"/>
      <c r="X45" s="6">
        <f t="shared" si="26"/>
        <v>-96497.23</v>
      </c>
      <c r="Y45" s="2"/>
      <c r="Z45" s="7">
        <f t="shared" si="27"/>
        <v>-0.91007579970137331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2" si="28">IF(D$12=0,0,D48/D$12)</f>
        <v>0</v>
      </c>
      <c r="G48" s="1"/>
      <c r="H48" s="1">
        <f>SUM(OSRRefH22_2x_0)</f>
        <v>1169</v>
      </c>
      <c r="I48" s="1"/>
      <c r="J48" s="5">
        <f t="shared" ref="J48:J72" si="29">IF(H$12=0,0,H48/H$12)</f>
        <v>3.0357722521586702E-3</v>
      </c>
      <c r="K48" s="1"/>
      <c r="L48" s="1">
        <f t="shared" ref="L48:L72" si="30">+D48-H48</f>
        <v>-1169</v>
      </c>
      <c r="M48" s="1"/>
      <c r="N48" s="5">
        <f t="shared" ref="N48:N72" si="31">IF(H48=0,0,L48/H48)</f>
        <v>-1</v>
      </c>
      <c r="O48" s="14"/>
      <c r="P48" s="1">
        <f>SUM(OSRRefP22_2x_0)</f>
        <v>1429</v>
      </c>
      <c r="Q48" s="1"/>
      <c r="R48" s="5">
        <f t="shared" ref="R48:R72" si="32">IF(P$12=0,0,P48/P$12)</f>
        <v>2.5914866417659074E-3</v>
      </c>
      <c r="S48" s="1"/>
      <c r="T48" s="1">
        <f>SUM(OSRRefT22_2x_0)</f>
        <v>5945</v>
      </c>
      <c r="U48" s="1"/>
      <c r="V48" s="5">
        <f t="shared" ref="V48:V72" si="33">IF(T$12=0,0,T48/T$12)</f>
        <v>3.8716425142166452E-3</v>
      </c>
      <c r="W48" s="1"/>
      <c r="X48" s="1">
        <f t="shared" ref="X48:X72" si="34">+P48-T48</f>
        <v>-4516</v>
      </c>
      <c r="Y48" s="1"/>
      <c r="Z48" s="5">
        <f t="shared" ref="Z48:Z72" si="35">IF(T48=0,0,X48/T48)</f>
        <v>-0.75962994112699744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1169</v>
      </c>
      <c r="I49" s="2"/>
      <c r="J49" s="7">
        <f t="shared" si="29"/>
        <v>3.0357722521586702E-3</v>
      </c>
      <c r="K49" s="2"/>
      <c r="L49" s="6">
        <f t="shared" si="30"/>
        <v>-1169</v>
      </c>
      <c r="M49" s="2"/>
      <c r="N49" s="7">
        <f t="shared" si="31"/>
        <v>-1</v>
      </c>
      <c r="O49" s="11"/>
      <c r="P49" s="6">
        <v>1429</v>
      </c>
      <c r="Q49" s="2"/>
      <c r="R49" s="7">
        <f t="shared" si="32"/>
        <v>2.5914866417659074E-3</v>
      </c>
      <c r="S49" s="2"/>
      <c r="T49" s="6">
        <v>5945</v>
      </c>
      <c r="U49" s="2"/>
      <c r="V49" s="7">
        <f t="shared" si="33"/>
        <v>3.8716425142166452E-3</v>
      </c>
      <c r="W49" s="2"/>
      <c r="X49" s="6">
        <f t="shared" si="34"/>
        <v>-4516</v>
      </c>
      <c r="Y49" s="2"/>
      <c r="Z49" s="7">
        <f t="shared" si="35"/>
        <v>-0.75962994112699744</v>
      </c>
    </row>
    <row r="50" spans="1:26" s="29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8.0503797961436089E-5</v>
      </c>
      <c r="K50" s="1"/>
      <c r="L50" s="1">
        <f t="shared" si="30"/>
        <v>-31</v>
      </c>
      <c r="M50" s="1"/>
      <c r="N50" s="5">
        <f t="shared" si="31"/>
        <v>-1</v>
      </c>
      <c r="O50" s="14"/>
      <c r="P50" s="1">
        <f>SUM(OSRRefP22_3x_0)</f>
        <v>69.739999999999995</v>
      </c>
      <c r="Q50" s="1"/>
      <c r="R50" s="5">
        <f t="shared" si="32"/>
        <v>1.2647325290185749E-4</v>
      </c>
      <c r="S50" s="1"/>
      <c r="T50" s="1">
        <f>SUM(OSRRefT22_3x_0)</f>
        <v>139</v>
      </c>
      <c r="U50" s="1"/>
      <c r="V50" s="5">
        <f t="shared" si="33"/>
        <v>9.0522844318942586E-5</v>
      </c>
      <c r="W50" s="1"/>
      <c r="X50" s="1">
        <f t="shared" si="34"/>
        <v>-69.260000000000005</v>
      </c>
      <c r="Y50" s="1"/>
      <c r="Z50" s="5">
        <f t="shared" si="35"/>
        <v>-0.49827338129496407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31</v>
      </c>
      <c r="I51" s="2"/>
      <c r="J51" s="7">
        <f t="shared" si="29"/>
        <v>8.0503797961436089E-5</v>
      </c>
      <c r="K51" s="2"/>
      <c r="L51" s="6">
        <f t="shared" si="30"/>
        <v>-31</v>
      </c>
      <c r="M51" s="2"/>
      <c r="N51" s="7">
        <f t="shared" si="31"/>
        <v>-1</v>
      </c>
      <c r="O51" s="11"/>
      <c r="P51" s="6">
        <v>69.739999999999995</v>
      </c>
      <c r="Q51" s="2"/>
      <c r="R51" s="7">
        <f t="shared" si="32"/>
        <v>1.2647325290185749E-4</v>
      </c>
      <c r="S51" s="2"/>
      <c r="T51" s="6">
        <v>139</v>
      </c>
      <c r="U51" s="2"/>
      <c r="V51" s="7">
        <f t="shared" si="33"/>
        <v>9.0522844318942586E-5</v>
      </c>
      <c r="W51" s="2"/>
      <c r="X51" s="6">
        <f t="shared" si="34"/>
        <v>-69.260000000000005</v>
      </c>
      <c r="Y51" s="2"/>
      <c r="Z51" s="7">
        <f t="shared" si="35"/>
        <v>-0.49827338129496407</v>
      </c>
    </row>
    <row r="52" spans="1:26" s="29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10.17</v>
      </c>
      <c r="E52" s="1"/>
      <c r="F52" s="5">
        <f t="shared" si="28"/>
        <v>9.437714517766196E-5</v>
      </c>
      <c r="G52" s="1"/>
      <c r="H52" s="1">
        <f>SUM(OSRRefH22_4x_0)</f>
        <v>395</v>
      </c>
      <c r="I52" s="1"/>
      <c r="J52" s="5">
        <f t="shared" si="29"/>
        <v>1.0257741998312016E-3</v>
      </c>
      <c r="K52" s="1"/>
      <c r="L52" s="1">
        <f t="shared" si="30"/>
        <v>-384.83</v>
      </c>
      <c r="M52" s="1"/>
      <c r="N52" s="5">
        <f t="shared" si="31"/>
        <v>-0.97425316455696198</v>
      </c>
      <c r="O52" s="14"/>
      <c r="P52" s="1">
        <f>SUM(OSRRefP22_4x_0)</f>
        <v>10.17</v>
      </c>
      <c r="Q52" s="1"/>
      <c r="R52" s="5">
        <f t="shared" si="32"/>
        <v>1.8443260424604112E-5</v>
      </c>
      <c r="S52" s="1"/>
      <c r="T52" s="1">
        <f>SUM(OSRRefT22_4x_0)</f>
        <v>1965</v>
      </c>
      <c r="U52" s="1"/>
      <c r="V52" s="5">
        <f t="shared" si="33"/>
        <v>1.2796934466670661E-3</v>
      </c>
      <c r="W52" s="1"/>
      <c r="X52" s="1">
        <f t="shared" si="34"/>
        <v>-1954.83</v>
      </c>
      <c r="Y52" s="1"/>
      <c r="Z52" s="5">
        <f t="shared" si="35"/>
        <v>-0.99482442748091604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6">
        <v>10.17</v>
      </c>
      <c r="E53" s="2"/>
      <c r="F53" s="7">
        <f t="shared" si="28"/>
        <v>9.437714517766196E-5</v>
      </c>
      <c r="G53" s="2"/>
      <c r="H53" s="6">
        <v>395</v>
      </c>
      <c r="I53" s="2"/>
      <c r="J53" s="7">
        <f t="shared" si="29"/>
        <v>1.0257741998312016E-3</v>
      </c>
      <c r="K53" s="2"/>
      <c r="L53" s="6">
        <f t="shared" si="30"/>
        <v>-384.83</v>
      </c>
      <c r="M53" s="2"/>
      <c r="N53" s="7">
        <f t="shared" si="31"/>
        <v>-0.97425316455696198</v>
      </c>
      <c r="O53" s="11"/>
      <c r="P53" s="6">
        <v>10.17</v>
      </c>
      <c r="Q53" s="2"/>
      <c r="R53" s="7">
        <f t="shared" si="32"/>
        <v>1.8443260424604112E-5</v>
      </c>
      <c r="S53" s="2"/>
      <c r="T53" s="6">
        <v>1965</v>
      </c>
      <c r="U53" s="2"/>
      <c r="V53" s="7">
        <f t="shared" si="33"/>
        <v>1.2796934466670661E-3</v>
      </c>
      <c r="W53" s="2"/>
      <c r="X53" s="6">
        <f t="shared" si="34"/>
        <v>-1954.83</v>
      </c>
      <c r="Y53" s="2"/>
      <c r="Z53" s="7">
        <f t="shared" si="35"/>
        <v>-0.99482442748091604</v>
      </c>
    </row>
    <row r="54" spans="1:26" s="29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8"/>
        <v>7.0388460783929793E-3</v>
      </c>
      <c r="G54" s="1"/>
      <c r="H54" s="1">
        <f>SUM(OSRRefH22_5x_0)</f>
        <v>213</v>
      </c>
      <c r="I54" s="1"/>
      <c r="J54" s="5">
        <f t="shared" si="29"/>
        <v>5.5313899889631885E-4</v>
      </c>
      <c r="K54" s="1"/>
      <c r="L54" s="1">
        <f t="shared" si="30"/>
        <v>545.5</v>
      </c>
      <c r="M54" s="1"/>
      <c r="N54" s="5">
        <f t="shared" si="31"/>
        <v>2.5610328638497655</v>
      </c>
      <c r="O54" s="14"/>
      <c r="P54" s="1">
        <f>SUM(OSRRefP22_5x_0)</f>
        <v>3264.06</v>
      </c>
      <c r="Q54" s="1"/>
      <c r="R54" s="5">
        <f t="shared" si="32"/>
        <v>5.9193617130317896E-3</v>
      </c>
      <c r="S54" s="1"/>
      <c r="T54" s="1">
        <f>SUM(OSRRefT22_5x_0)</f>
        <v>1065</v>
      </c>
      <c r="U54" s="1"/>
      <c r="V54" s="5">
        <f t="shared" si="33"/>
        <v>6.9357431078902057E-4</v>
      </c>
      <c r="W54" s="1"/>
      <c r="X54" s="1">
        <f t="shared" si="34"/>
        <v>2199.06</v>
      </c>
      <c r="Y54" s="1"/>
      <c r="Z54" s="5">
        <f t="shared" si="35"/>
        <v>2.064845070422535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758.5</v>
      </c>
      <c r="E55" s="2"/>
      <c r="F55" s="7">
        <f t="shared" si="28"/>
        <v>7.0388460783929793E-3</v>
      </c>
      <c r="G55" s="2"/>
      <c r="H55" s="6">
        <v>213</v>
      </c>
      <c r="I55" s="2"/>
      <c r="J55" s="7">
        <f t="shared" si="29"/>
        <v>5.5313899889631885E-4</v>
      </c>
      <c r="K55" s="2"/>
      <c r="L55" s="6">
        <f t="shared" si="30"/>
        <v>545.5</v>
      </c>
      <c r="M55" s="2"/>
      <c r="N55" s="7">
        <f t="shared" si="31"/>
        <v>2.5610328638497655</v>
      </c>
      <c r="O55" s="11"/>
      <c r="P55" s="6">
        <v>3264.06</v>
      </c>
      <c r="Q55" s="2"/>
      <c r="R55" s="7">
        <f t="shared" si="32"/>
        <v>5.9193617130317896E-3</v>
      </c>
      <c r="S55" s="2"/>
      <c r="T55" s="6">
        <v>1065</v>
      </c>
      <c r="U55" s="2"/>
      <c r="V55" s="7">
        <f t="shared" si="33"/>
        <v>6.9357431078902057E-4</v>
      </c>
      <c r="W55" s="2"/>
      <c r="X55" s="6">
        <f t="shared" si="34"/>
        <v>2199.06</v>
      </c>
      <c r="Y55" s="2"/>
      <c r="Z55" s="7">
        <f t="shared" si="35"/>
        <v>2.064845070422535</v>
      </c>
    </row>
    <row r="56" spans="1:26" s="29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7935.78</v>
      </c>
      <c r="E56" s="1"/>
      <c r="F56" s="5">
        <f t="shared" si="28"/>
        <v>7.3643683496360496E-2</v>
      </c>
      <c r="G56" s="1"/>
      <c r="H56" s="1">
        <f>SUM(OSRRefH22_6x_0)</f>
        <v>14773</v>
      </c>
      <c r="I56" s="1"/>
      <c r="J56" s="5">
        <f t="shared" si="29"/>
        <v>3.8363955073686944E-2</v>
      </c>
      <c r="K56" s="1"/>
      <c r="L56" s="1">
        <f t="shared" si="30"/>
        <v>-6837.22</v>
      </c>
      <c r="M56" s="1"/>
      <c r="N56" s="5">
        <f t="shared" si="31"/>
        <v>-0.46281865565558794</v>
      </c>
      <c r="O56" s="14"/>
      <c r="P56" s="1">
        <f>SUM(OSRRefP22_6x_0)</f>
        <v>30155.96</v>
      </c>
      <c r="Q56" s="1"/>
      <c r="R56" s="5">
        <f t="shared" si="32"/>
        <v>5.4687730937457678E-2</v>
      </c>
      <c r="S56" s="1"/>
      <c r="T56" s="1">
        <f>SUM(OSRRefT22_6x_0)</f>
        <v>54092</v>
      </c>
      <c r="U56" s="1"/>
      <c r="V56" s="5">
        <f t="shared" si="33"/>
        <v>3.5227062553239152E-2</v>
      </c>
      <c r="W56" s="1"/>
      <c r="X56" s="1">
        <f t="shared" si="34"/>
        <v>-23936.04</v>
      </c>
      <c r="Y56" s="1"/>
      <c r="Z56" s="5">
        <f t="shared" si="35"/>
        <v>-0.44250610071729646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6">
        <v>7935.78</v>
      </c>
      <c r="E57" s="2"/>
      <c r="F57" s="7">
        <f t="shared" si="28"/>
        <v>7.3643683496360496E-2</v>
      </c>
      <c r="G57" s="2"/>
      <c r="H57" s="6">
        <v>14773</v>
      </c>
      <c r="I57" s="2"/>
      <c r="J57" s="7">
        <f t="shared" si="29"/>
        <v>3.8363955073686944E-2</v>
      </c>
      <c r="K57" s="2"/>
      <c r="L57" s="6">
        <f t="shared" si="30"/>
        <v>-6837.22</v>
      </c>
      <c r="M57" s="2"/>
      <c r="N57" s="7">
        <f t="shared" si="31"/>
        <v>-0.46281865565558794</v>
      </c>
      <c r="O57" s="11"/>
      <c r="P57" s="6">
        <v>30155.96</v>
      </c>
      <c r="Q57" s="2"/>
      <c r="R57" s="7">
        <f t="shared" si="32"/>
        <v>5.4687730937457678E-2</v>
      </c>
      <c r="S57" s="2"/>
      <c r="T57" s="6">
        <v>54092</v>
      </c>
      <c r="U57" s="2"/>
      <c r="V57" s="7">
        <f t="shared" si="33"/>
        <v>3.5227062553239152E-2</v>
      </c>
      <c r="W57" s="2"/>
      <c r="X57" s="6">
        <f t="shared" si="34"/>
        <v>-23936.04</v>
      </c>
      <c r="Y57" s="2"/>
      <c r="Z57" s="7">
        <f t="shared" si="35"/>
        <v>-0.44250610071729646</v>
      </c>
    </row>
    <row r="58" spans="1:26" s="29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7.7906901253002657E-4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1300</v>
      </c>
      <c r="U58" s="1"/>
      <c r="V58" s="5">
        <f t="shared" si="33"/>
        <v>8.4661652960162136E-4</v>
      </c>
      <c r="W58" s="1"/>
      <c r="X58" s="1">
        <f t="shared" si="34"/>
        <v>-1300</v>
      </c>
      <c r="Y58" s="1"/>
      <c r="Z58" s="5">
        <f t="shared" si="35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300</v>
      </c>
      <c r="I59" s="2"/>
      <c r="J59" s="7">
        <f t="shared" si="29"/>
        <v>7.7906901253002657E-4</v>
      </c>
      <c r="K59" s="2"/>
      <c r="L59" s="6">
        <f t="shared" si="30"/>
        <v>-300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1300</v>
      </c>
      <c r="U59" s="2"/>
      <c r="V59" s="7">
        <f t="shared" si="33"/>
        <v>8.4661652960162136E-4</v>
      </c>
      <c r="W59" s="2"/>
      <c r="X59" s="6">
        <f t="shared" si="34"/>
        <v>-1300</v>
      </c>
      <c r="Y59" s="2"/>
      <c r="Z59" s="7">
        <f t="shared" si="35"/>
        <v>-1</v>
      </c>
    </row>
    <row r="60" spans="1:26" s="29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268.14999999999998</v>
      </c>
      <c r="E60" s="1"/>
      <c r="F60" s="5">
        <f t="shared" si="28"/>
        <v>2.488420007806298E-3</v>
      </c>
      <c r="G60" s="1"/>
      <c r="H60" s="1">
        <f>SUM(OSRRefH22_8x_0)</f>
        <v>690</v>
      </c>
      <c r="I60" s="1"/>
      <c r="J60" s="5">
        <f t="shared" si="29"/>
        <v>1.7918587288190612E-3</v>
      </c>
      <c r="K60" s="1"/>
      <c r="L60" s="1">
        <f t="shared" si="30"/>
        <v>-421.85</v>
      </c>
      <c r="M60" s="1"/>
      <c r="N60" s="5">
        <f t="shared" si="31"/>
        <v>-0.61137681159420298</v>
      </c>
      <c r="O60" s="14"/>
      <c r="P60" s="1">
        <f>SUM(OSRRefP22_8x_0)</f>
        <v>2540.62</v>
      </c>
      <c r="Q60" s="1"/>
      <c r="R60" s="5">
        <f t="shared" si="32"/>
        <v>4.6074057325425468E-3</v>
      </c>
      <c r="S60" s="1"/>
      <c r="T60" s="1">
        <f>SUM(OSRRefT22_8x_0)</f>
        <v>3450</v>
      </c>
      <c r="U60" s="1"/>
      <c r="V60" s="5">
        <f t="shared" si="33"/>
        <v>2.2467900208658414E-3</v>
      </c>
      <c r="W60" s="1"/>
      <c r="X60" s="1">
        <f t="shared" si="34"/>
        <v>-909.38000000000011</v>
      </c>
      <c r="Y60" s="1"/>
      <c r="Z60" s="5">
        <f t="shared" si="35"/>
        <v>-0.26358840579710147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6">
        <v>268.14999999999998</v>
      </c>
      <c r="E61" s="2"/>
      <c r="F61" s="7">
        <f t="shared" si="28"/>
        <v>2.488420007806298E-3</v>
      </c>
      <c r="G61" s="2"/>
      <c r="H61" s="6">
        <v>690</v>
      </c>
      <c r="I61" s="2"/>
      <c r="J61" s="7">
        <f t="shared" si="29"/>
        <v>1.7918587288190612E-3</v>
      </c>
      <c r="K61" s="2"/>
      <c r="L61" s="6">
        <f t="shared" si="30"/>
        <v>-421.85</v>
      </c>
      <c r="M61" s="2"/>
      <c r="N61" s="7">
        <f t="shared" si="31"/>
        <v>-0.61137681159420298</v>
      </c>
      <c r="O61" s="11"/>
      <c r="P61" s="6">
        <v>2540.62</v>
      </c>
      <c r="Q61" s="2"/>
      <c r="R61" s="7">
        <f t="shared" si="32"/>
        <v>4.6074057325425468E-3</v>
      </c>
      <c r="S61" s="2"/>
      <c r="T61" s="6">
        <v>3450</v>
      </c>
      <c r="U61" s="2"/>
      <c r="V61" s="7">
        <f t="shared" si="33"/>
        <v>2.2467900208658414E-3</v>
      </c>
      <c r="W61" s="2"/>
      <c r="X61" s="6">
        <f t="shared" si="34"/>
        <v>-909.38000000000011</v>
      </c>
      <c r="Y61" s="2"/>
      <c r="Z61" s="7">
        <f t="shared" si="35"/>
        <v>-0.26358840579710147</v>
      </c>
    </row>
    <row r="62" spans="1:26" s="29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38</v>
      </c>
      <c r="E62" s="1"/>
      <c r="F62" s="5">
        <f t="shared" si="28"/>
        <v>3.5263830056550191E-4</v>
      </c>
      <c r="G62" s="1"/>
      <c r="H62" s="1">
        <f>SUM(OSRRefH22_9x_0)</f>
        <v>430</v>
      </c>
      <c r="I62" s="1"/>
      <c r="J62" s="5">
        <f t="shared" si="29"/>
        <v>1.1166655846263716E-3</v>
      </c>
      <c r="K62" s="1"/>
      <c r="L62" s="1">
        <f t="shared" si="30"/>
        <v>-392</v>
      </c>
      <c r="M62" s="1"/>
      <c r="N62" s="5">
        <f t="shared" si="31"/>
        <v>-0.91162790697674423</v>
      </c>
      <c r="O62" s="14"/>
      <c r="P62" s="1">
        <f>SUM(OSRRefP22_9x_0)</f>
        <v>6418.95</v>
      </c>
      <c r="Q62" s="1"/>
      <c r="R62" s="5">
        <f t="shared" si="32"/>
        <v>1.1640744002213625E-2</v>
      </c>
      <c r="S62" s="1"/>
      <c r="T62" s="1">
        <f>SUM(OSRRefT22_9x_0)</f>
        <v>6570</v>
      </c>
      <c r="U62" s="1"/>
      <c r="V62" s="5">
        <f t="shared" si="33"/>
        <v>4.2786696919097323E-3</v>
      </c>
      <c r="W62" s="1"/>
      <c r="X62" s="1">
        <f t="shared" si="34"/>
        <v>-151.05000000000018</v>
      </c>
      <c r="Y62" s="1"/>
      <c r="Z62" s="5">
        <f t="shared" si="35"/>
        <v>-2.2990867579908703E-2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6">
        <v>38</v>
      </c>
      <c r="E63" s="2"/>
      <c r="F63" s="7">
        <f t="shared" si="28"/>
        <v>3.5263830056550191E-4</v>
      </c>
      <c r="G63" s="2"/>
      <c r="H63" s="6">
        <v>430</v>
      </c>
      <c r="I63" s="2"/>
      <c r="J63" s="7">
        <f t="shared" si="29"/>
        <v>1.1166655846263716E-3</v>
      </c>
      <c r="K63" s="2"/>
      <c r="L63" s="6">
        <f t="shared" si="30"/>
        <v>-392</v>
      </c>
      <c r="M63" s="2"/>
      <c r="N63" s="7">
        <f t="shared" si="31"/>
        <v>-0.91162790697674423</v>
      </c>
      <c r="O63" s="11"/>
      <c r="P63" s="6">
        <v>6418.95</v>
      </c>
      <c r="Q63" s="2"/>
      <c r="R63" s="7">
        <f t="shared" si="32"/>
        <v>1.1640744002213625E-2</v>
      </c>
      <c r="S63" s="2"/>
      <c r="T63" s="6">
        <v>6570</v>
      </c>
      <c r="U63" s="2"/>
      <c r="V63" s="7">
        <f t="shared" si="33"/>
        <v>4.2786696919097323E-3</v>
      </c>
      <c r="W63" s="2"/>
      <c r="X63" s="6">
        <f t="shared" si="34"/>
        <v>-151.05000000000018</v>
      </c>
      <c r="Y63" s="2"/>
      <c r="Z63" s="7">
        <f t="shared" si="35"/>
        <v>-2.2990867579908703E-2</v>
      </c>
    </row>
    <row r="64" spans="1:26" s="29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5.4751736140433195E-5</v>
      </c>
      <c r="G64" s="1"/>
      <c r="H64" s="1">
        <f>SUM(OSRRefH22_10x_0)</f>
        <v>7</v>
      </c>
      <c r="I64" s="1"/>
      <c r="J64" s="5">
        <f t="shared" si="29"/>
        <v>1.8178276959033955E-5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29.5</v>
      </c>
      <c r="Q64" s="1"/>
      <c r="R64" s="5">
        <f t="shared" si="32"/>
        <v>5.3498149707553722E-5</v>
      </c>
      <c r="S64" s="1"/>
      <c r="T64" s="1">
        <f>SUM(OSRRefT22_10x_0)</f>
        <v>35</v>
      </c>
      <c r="U64" s="1"/>
      <c r="V64" s="5">
        <f t="shared" si="33"/>
        <v>2.2793521950812883E-5</v>
      </c>
      <c r="W64" s="1"/>
      <c r="X64" s="1">
        <f t="shared" si="34"/>
        <v>-5.5</v>
      </c>
      <c r="Y64" s="1"/>
      <c r="Z64" s="5">
        <f t="shared" si="35"/>
        <v>-0.15714285714285714</v>
      </c>
    </row>
    <row r="65" spans="1:26" s="24" customFormat="1" hidden="1" outlineLevel="2" x14ac:dyDescent="0.25">
      <c r="A65" s="28"/>
      <c r="B65" s="11" t="str">
        <f>CONCATENATE("          ", "6314", " - ", "LIABILITY INSURANCE")</f>
        <v xml:space="preserve">          6314 - LIABILITY INSURANCE</v>
      </c>
      <c r="C65" s="11"/>
      <c r="D65" s="6">
        <v>5.9</v>
      </c>
      <c r="E65" s="2"/>
      <c r="F65" s="7">
        <f t="shared" si="28"/>
        <v>5.4751736140433195E-5</v>
      </c>
      <c r="G65" s="2"/>
      <c r="H65" s="6">
        <v>7</v>
      </c>
      <c r="I65" s="2"/>
      <c r="J65" s="7">
        <f t="shared" si="29"/>
        <v>1.8178276959033955E-5</v>
      </c>
      <c r="K65" s="2"/>
      <c r="L65" s="6">
        <f t="shared" si="30"/>
        <v>-1.0999999999999996</v>
      </c>
      <c r="M65" s="2"/>
      <c r="N65" s="7">
        <f t="shared" si="31"/>
        <v>-0.15714285714285708</v>
      </c>
      <c r="O65" s="11"/>
      <c r="P65" s="6">
        <v>29.5</v>
      </c>
      <c r="Q65" s="2"/>
      <c r="R65" s="7">
        <f t="shared" si="32"/>
        <v>5.3498149707553722E-5</v>
      </c>
      <c r="S65" s="2"/>
      <c r="T65" s="6">
        <v>35</v>
      </c>
      <c r="U65" s="2"/>
      <c r="V65" s="7">
        <f t="shared" si="33"/>
        <v>2.2793521950812883E-5</v>
      </c>
      <c r="W65" s="2"/>
      <c r="X65" s="6">
        <f t="shared" si="34"/>
        <v>-5.5</v>
      </c>
      <c r="Y65" s="2"/>
      <c r="Z65" s="7">
        <f t="shared" si="35"/>
        <v>-0.15714285714285714</v>
      </c>
    </row>
    <row r="66" spans="1:26" s="29" customFormat="1" outlineLevel="1" collapsed="1" x14ac:dyDescent="0.25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7982.87</v>
      </c>
      <c r="E66" s="1"/>
      <c r="F66" s="5">
        <f t="shared" si="28"/>
        <v>7.4080676590403377E-2</v>
      </c>
      <c r="G66" s="1"/>
      <c r="H66" s="1">
        <f>SUM(OSRRefH22_11x_0)</f>
        <v>30806</v>
      </c>
      <c r="I66" s="1"/>
      <c r="J66" s="5">
        <f t="shared" si="29"/>
        <v>0.08</v>
      </c>
      <c r="K66" s="1"/>
      <c r="L66" s="1">
        <f t="shared" si="30"/>
        <v>-22823.13</v>
      </c>
      <c r="M66" s="1"/>
      <c r="N66" s="5">
        <f t="shared" si="31"/>
        <v>-0.74086638966435114</v>
      </c>
      <c r="O66" s="14"/>
      <c r="P66" s="1">
        <f>SUM(OSRRefP22_11x_0)</f>
        <v>36703.07</v>
      </c>
      <c r="Q66" s="1"/>
      <c r="R66" s="5">
        <f t="shared" si="32"/>
        <v>6.6560892663960119E-2</v>
      </c>
      <c r="S66" s="1"/>
      <c r="T66" s="1">
        <f>SUM(OSRRefT22_11x_0)</f>
        <v>122844</v>
      </c>
      <c r="U66" s="1"/>
      <c r="V66" s="5">
        <f t="shared" si="33"/>
        <v>8.000135458644736E-2</v>
      </c>
      <c r="W66" s="1"/>
      <c r="X66" s="1">
        <f t="shared" si="34"/>
        <v>-86140.93</v>
      </c>
      <c r="Y66" s="1"/>
      <c r="Z66" s="5">
        <f t="shared" si="35"/>
        <v>-0.70122211911041643</v>
      </c>
    </row>
    <row r="67" spans="1:26" s="24" customFormat="1" hidden="1" outlineLevel="2" x14ac:dyDescent="0.25">
      <c r="A67" s="28"/>
      <c r="B67" s="11" t="str">
        <f>CONCATENATE("          ", "6387", " - ", "COMMISSION DUE HOUSING")</f>
        <v xml:space="preserve">          6387 - COMMISSION DUE HOUSING</v>
      </c>
      <c r="C67" s="11"/>
      <c r="D67" s="6">
        <v>7982.87</v>
      </c>
      <c r="E67" s="2"/>
      <c r="F67" s="7">
        <f t="shared" si="28"/>
        <v>7.4080676590403377E-2</v>
      </c>
      <c r="G67" s="2"/>
      <c r="H67" s="6">
        <v>30806</v>
      </c>
      <c r="I67" s="2"/>
      <c r="J67" s="7">
        <f t="shared" si="29"/>
        <v>0.08</v>
      </c>
      <c r="K67" s="2"/>
      <c r="L67" s="6">
        <f t="shared" si="30"/>
        <v>-22823.13</v>
      </c>
      <c r="M67" s="2"/>
      <c r="N67" s="7">
        <f t="shared" si="31"/>
        <v>-0.74086638966435114</v>
      </c>
      <c r="O67" s="11"/>
      <c r="P67" s="6">
        <v>36703.07</v>
      </c>
      <c r="Q67" s="2"/>
      <c r="R67" s="7">
        <f t="shared" si="32"/>
        <v>6.6560892663960119E-2</v>
      </c>
      <c r="S67" s="2"/>
      <c r="T67" s="6">
        <v>122844</v>
      </c>
      <c r="U67" s="2"/>
      <c r="V67" s="7">
        <f t="shared" si="33"/>
        <v>8.000135458644736E-2</v>
      </c>
      <c r="W67" s="2"/>
      <c r="X67" s="6">
        <f t="shared" si="34"/>
        <v>-86140.93</v>
      </c>
      <c r="Y67" s="2"/>
      <c r="Z67" s="7">
        <f t="shared" si="35"/>
        <v>-0.70122211911041643</v>
      </c>
    </row>
    <row r="68" spans="1:26" s="29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1083.72</v>
      </c>
      <c r="E68" s="1"/>
      <c r="F68" s="5">
        <f t="shared" si="28"/>
        <v>1.0056873133916993E-2</v>
      </c>
      <c r="G68" s="1"/>
      <c r="H68" s="1">
        <f>SUM(OSRRefH22_12x_0)</f>
        <v>10808</v>
      </c>
      <c r="I68" s="1"/>
      <c r="J68" s="5">
        <f t="shared" si="29"/>
        <v>2.8067259624748427E-2</v>
      </c>
      <c r="K68" s="1"/>
      <c r="L68" s="1">
        <f t="shared" si="30"/>
        <v>-9724.2800000000007</v>
      </c>
      <c r="M68" s="1"/>
      <c r="N68" s="5">
        <f t="shared" si="31"/>
        <v>-0.89972982975573657</v>
      </c>
      <c r="O68" s="14"/>
      <c r="P68" s="1">
        <f>SUM(OSRRefP22_12x_0)</f>
        <v>4411.6400000000003</v>
      </c>
      <c r="Q68" s="1"/>
      <c r="R68" s="5">
        <f t="shared" si="32"/>
        <v>8.0004941415536372E-3</v>
      </c>
      <c r="S68" s="1"/>
      <c r="T68" s="1">
        <f>SUM(OSRRefT22_12x_0)</f>
        <v>17723</v>
      </c>
      <c r="U68" s="1"/>
      <c r="V68" s="5">
        <f t="shared" si="33"/>
        <v>1.1541988272407334E-2</v>
      </c>
      <c r="W68" s="1"/>
      <c r="X68" s="1">
        <f t="shared" si="34"/>
        <v>-13311.36</v>
      </c>
      <c r="Y68" s="1"/>
      <c r="Z68" s="5">
        <f t="shared" si="35"/>
        <v>-0.75107825988828081</v>
      </c>
    </row>
    <row r="69" spans="1:26" s="24" customFormat="1" hidden="1" outlineLevel="2" x14ac:dyDescent="0.25">
      <c r="A69" s="28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28"/>
        <v>0</v>
      </c>
      <c r="G69" s="2"/>
      <c r="H69" s="6">
        <v>8500</v>
      </c>
      <c r="I69" s="2"/>
      <c r="J69" s="7">
        <f t="shared" si="29"/>
        <v>2.2073622021684086E-2</v>
      </c>
      <c r="K69" s="2"/>
      <c r="L69" s="6">
        <f t="shared" si="30"/>
        <v>-8500</v>
      </c>
      <c r="M69" s="2"/>
      <c r="N69" s="7">
        <f t="shared" si="31"/>
        <v>-1</v>
      </c>
      <c r="O69" s="11"/>
      <c r="P69" s="6"/>
      <c r="Q69" s="2"/>
      <c r="R69" s="7">
        <f t="shared" si="32"/>
        <v>0</v>
      </c>
      <c r="S69" s="2"/>
      <c r="T69" s="6">
        <v>8500</v>
      </c>
      <c r="U69" s="2"/>
      <c r="V69" s="7">
        <f t="shared" si="33"/>
        <v>5.5355696166259852E-3</v>
      </c>
      <c r="W69" s="2"/>
      <c r="X69" s="6">
        <f t="shared" si="34"/>
        <v>-8500</v>
      </c>
      <c r="Y69" s="2"/>
      <c r="Z69" s="7">
        <f t="shared" si="35"/>
        <v>-1</v>
      </c>
    </row>
    <row r="70" spans="1:26" s="24" customFormat="1" hidden="1" outlineLevel="2" x14ac:dyDescent="0.25">
      <c r="A70" s="28"/>
      <c r="B70" s="11" t="str">
        <f>CONCATENATE("          ", "6372", " - ", "COMPUTER HARDWARE MAINTENANCE")</f>
        <v xml:space="preserve">          6372 - COMPUTER HARDWARE MAINTENANCE</v>
      </c>
      <c r="C70" s="11"/>
      <c r="D70" s="6"/>
      <c r="E70" s="2"/>
      <c r="F70" s="7">
        <f t="shared" si="28"/>
        <v>0</v>
      </c>
      <c r="G70" s="2"/>
      <c r="H70" s="6"/>
      <c r="I70" s="2"/>
      <c r="J70" s="7">
        <f t="shared" si="29"/>
        <v>0</v>
      </c>
      <c r="K70" s="2"/>
      <c r="L70" s="6">
        <f t="shared" si="30"/>
        <v>0</v>
      </c>
      <c r="M70" s="2"/>
      <c r="N70" s="7">
        <f t="shared" si="31"/>
        <v>0</v>
      </c>
      <c r="O70" s="11"/>
      <c r="P70" s="6"/>
      <c r="Q70" s="2"/>
      <c r="R70" s="7">
        <f t="shared" si="32"/>
        <v>0</v>
      </c>
      <c r="S70" s="2"/>
      <c r="T70" s="6">
        <v>3083</v>
      </c>
      <c r="U70" s="2"/>
      <c r="V70" s="7">
        <f t="shared" si="33"/>
        <v>2.0077836621244603E-3</v>
      </c>
      <c r="W70" s="2"/>
      <c r="X70" s="6">
        <f t="shared" si="34"/>
        <v>-3083</v>
      </c>
      <c r="Y70" s="2"/>
      <c r="Z70" s="7">
        <f t="shared" si="35"/>
        <v>-1</v>
      </c>
    </row>
    <row r="71" spans="1:26" s="24" customFormat="1" hidden="1" outlineLevel="2" x14ac:dyDescent="0.25">
      <c r="A71" s="28"/>
      <c r="B71" s="11" t="str">
        <f>CONCATENATE("          ", "6373", " - ", "MAINTENANCE CONTRACTS")</f>
        <v xml:space="preserve">          6373 - MAINTENANCE CONTRACTS</v>
      </c>
      <c r="C71" s="11"/>
      <c r="D71" s="6">
        <v>8.52</v>
      </c>
      <c r="E71" s="2"/>
      <c r="F71" s="7">
        <f t="shared" si="28"/>
        <v>7.9065218968896742E-5</v>
      </c>
      <c r="G71" s="2"/>
      <c r="H71" s="6">
        <v>1858</v>
      </c>
      <c r="I71" s="2"/>
      <c r="J71" s="7">
        <f t="shared" si="29"/>
        <v>4.8250340842692979E-3</v>
      </c>
      <c r="K71" s="2"/>
      <c r="L71" s="6">
        <f t="shared" si="30"/>
        <v>-1849.48</v>
      </c>
      <c r="M71" s="2"/>
      <c r="N71" s="7">
        <f t="shared" si="31"/>
        <v>-0.99541442411194836</v>
      </c>
      <c r="O71" s="11"/>
      <c r="P71" s="6">
        <v>2734.82</v>
      </c>
      <c r="Q71" s="2"/>
      <c r="R71" s="7">
        <f t="shared" si="32"/>
        <v>4.9595867723122734E-3</v>
      </c>
      <c r="S71" s="2"/>
      <c r="T71" s="6">
        <v>3890</v>
      </c>
      <c r="U71" s="2"/>
      <c r="V71" s="7">
        <f t="shared" si="33"/>
        <v>2.5333371539617744E-3</v>
      </c>
      <c r="W71" s="2"/>
      <c r="X71" s="6">
        <f t="shared" si="34"/>
        <v>-1155.1799999999998</v>
      </c>
      <c r="Y71" s="2"/>
      <c r="Z71" s="7">
        <f t="shared" si="35"/>
        <v>-0.29696143958868892</v>
      </c>
    </row>
    <row r="72" spans="1:26" s="24" customFormat="1" hidden="1" outlineLevel="2" x14ac:dyDescent="0.25">
      <c r="A72" s="28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1075.2</v>
      </c>
      <c r="E72" s="2"/>
      <c r="F72" s="7">
        <f t="shared" si="28"/>
        <v>9.9778079149480964E-3</v>
      </c>
      <c r="G72" s="2"/>
      <c r="H72" s="6">
        <v>450</v>
      </c>
      <c r="I72" s="2"/>
      <c r="J72" s="7">
        <f t="shared" si="29"/>
        <v>1.16860351879504E-3</v>
      </c>
      <c r="K72" s="2"/>
      <c r="L72" s="6">
        <f t="shared" si="30"/>
        <v>625.20000000000005</v>
      </c>
      <c r="M72" s="2"/>
      <c r="N72" s="7">
        <f t="shared" si="31"/>
        <v>1.3893333333333335</v>
      </c>
      <c r="O72" s="11"/>
      <c r="P72" s="6">
        <v>1676.82</v>
      </c>
      <c r="Q72" s="2"/>
      <c r="R72" s="7">
        <f t="shared" si="32"/>
        <v>3.0409073692413634E-3</v>
      </c>
      <c r="S72" s="2"/>
      <c r="T72" s="6">
        <v>2250</v>
      </c>
      <c r="U72" s="2"/>
      <c r="V72" s="7">
        <f t="shared" si="33"/>
        <v>1.4652978396951137E-3</v>
      </c>
      <c r="W72" s="2"/>
      <c r="X72" s="6">
        <f t="shared" si="34"/>
        <v>-573.18000000000006</v>
      </c>
      <c r="Y72" s="2"/>
      <c r="Z72" s="7">
        <f t="shared" si="35"/>
        <v>-0.25474666666666668</v>
      </c>
    </row>
    <row r="73" spans="1:26" s="29" customFormat="1" outlineLevel="1" collapsed="1" x14ac:dyDescent="0.25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9251.5300000000007</v>
      </c>
      <c r="E73" s="1"/>
      <c r="F73" s="5">
        <f t="shared" ref="F73:F77" si="36">IF(D$12=0,0,D73/D$12)</f>
        <v>8.5853784653440998E-2</v>
      </c>
      <c r="G73" s="1"/>
      <c r="H73" s="1">
        <f>SUM(OSRRefH22_13x_0)</f>
        <v>19075</v>
      </c>
      <c r="I73" s="1"/>
      <c r="J73" s="5">
        <f t="shared" ref="J73:J77" si="37">IF(H$12=0,0,H73/H$12)</f>
        <v>4.9535804713367527E-2</v>
      </c>
      <c r="K73" s="1"/>
      <c r="L73" s="1">
        <f t="shared" ref="L73:L77" si="38">+D73-H73</f>
        <v>-9823.4699999999993</v>
      </c>
      <c r="M73" s="1"/>
      <c r="N73" s="5">
        <f t="shared" ref="N73:N77" si="39">IF(H73=0,0,L73/H73)</f>
        <v>-0.51499187418086501</v>
      </c>
      <c r="O73" s="14"/>
      <c r="P73" s="1">
        <f>SUM(OSRRefP22_13x_0)</f>
        <v>52915.880000000005</v>
      </c>
      <c r="Q73" s="1"/>
      <c r="R73" s="5">
        <f t="shared" ref="R73:R77" si="40">IF(P$12=0,0,P73/P$12)</f>
        <v>9.596276847955755E-2</v>
      </c>
      <c r="S73" s="1"/>
      <c r="T73" s="1">
        <f>SUM(OSRRefT22_13x_0)</f>
        <v>95375</v>
      </c>
      <c r="U73" s="1"/>
      <c r="V73" s="5">
        <f t="shared" ref="V73:V77" si="41">IF(T$12=0,0,T73/T$12)</f>
        <v>6.2112347315965107E-2</v>
      </c>
      <c r="W73" s="1"/>
      <c r="X73" s="1">
        <f t="shared" ref="X73:X77" si="42">+P73-T73</f>
        <v>-42459.119999999995</v>
      </c>
      <c r="Y73" s="1"/>
      <c r="Z73" s="5">
        <f t="shared" ref="Z73:Z77" si="43">IF(T73=0,0,X73/T73)</f>
        <v>-0.44518081258191344</v>
      </c>
    </row>
    <row r="74" spans="1:26" s="24" customFormat="1" hidden="1" outlineLevel="2" x14ac:dyDescent="0.25">
      <c r="A74" s="28"/>
      <c r="B74" s="11" t="str">
        <f>CONCATENATE("          ", "6282", " - ", "JANITORIAL/EXTERMINATOR EXPENS")</f>
        <v xml:space="preserve">          6282 - JANITORIAL/EXTERMINATOR EXPENS</v>
      </c>
      <c r="C74" s="11"/>
      <c r="D74" s="6">
        <v>130.69999999999999</v>
      </c>
      <c r="E74" s="2"/>
      <c r="F74" s="7">
        <f t="shared" si="36"/>
        <v>1.2128901548397657E-3</v>
      </c>
      <c r="G74" s="2"/>
      <c r="H74" s="6">
        <v>1750</v>
      </c>
      <c r="I74" s="2"/>
      <c r="J74" s="7">
        <f t="shared" si="37"/>
        <v>4.5445692397584883E-3</v>
      </c>
      <c r="K74" s="2"/>
      <c r="L74" s="6">
        <f t="shared" si="38"/>
        <v>-1619.3</v>
      </c>
      <c r="M74" s="2"/>
      <c r="N74" s="7">
        <f t="shared" si="39"/>
        <v>-0.92531428571428564</v>
      </c>
      <c r="O74" s="11"/>
      <c r="P74" s="6">
        <v>3888.71</v>
      </c>
      <c r="Q74" s="2"/>
      <c r="R74" s="7">
        <f t="shared" si="40"/>
        <v>7.0521623643817364E-3</v>
      </c>
      <c r="S74" s="2"/>
      <c r="T74" s="6">
        <v>8750</v>
      </c>
      <c r="U74" s="2"/>
      <c r="V74" s="7">
        <f t="shared" si="41"/>
        <v>5.6983804877032201E-3</v>
      </c>
      <c r="W74" s="2"/>
      <c r="X74" s="6">
        <f t="shared" si="42"/>
        <v>-4861.29</v>
      </c>
      <c r="Y74" s="2"/>
      <c r="Z74" s="7">
        <f t="shared" si="43"/>
        <v>-0.55557599999999996</v>
      </c>
    </row>
    <row r="75" spans="1:26" s="24" customFormat="1" hidden="1" outlineLevel="2" x14ac:dyDescent="0.25">
      <c r="A75" s="28"/>
      <c r="B75" s="11" t="str">
        <f>CONCATENATE("          ", "6284", " - ", "TRASH REMOVAL EXPENSE")</f>
        <v xml:space="preserve">          6284 - TRASH REMOVAL EXPENSE</v>
      </c>
      <c r="C75" s="11"/>
      <c r="D75" s="6"/>
      <c r="E75" s="2"/>
      <c r="F75" s="7">
        <f t="shared" si="36"/>
        <v>0</v>
      </c>
      <c r="G75" s="2"/>
      <c r="H75" s="6">
        <v>500</v>
      </c>
      <c r="I75" s="2"/>
      <c r="J75" s="7">
        <f t="shared" si="37"/>
        <v>1.2984483542167111E-3</v>
      </c>
      <c r="K75" s="2"/>
      <c r="L75" s="6">
        <f t="shared" si="38"/>
        <v>-500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2500</v>
      </c>
      <c r="U75" s="2"/>
      <c r="V75" s="7">
        <f t="shared" si="41"/>
        <v>1.6281087107723488E-3</v>
      </c>
      <c r="W75" s="2"/>
      <c r="X75" s="6">
        <f t="shared" si="42"/>
        <v>-2500</v>
      </c>
      <c r="Y75" s="2"/>
      <c r="Z75" s="7">
        <f t="shared" si="43"/>
        <v>-1</v>
      </c>
    </row>
    <row r="76" spans="1:26" s="24" customFormat="1" hidden="1" outlineLevel="2" x14ac:dyDescent="0.25">
      <c r="A76" s="28"/>
      <c r="B76" s="11" t="str">
        <f>CONCATENATE("          ", "6285", " - ", "JANITORIAL SERVICES")</f>
        <v xml:space="preserve">          6285 - JANITORIAL SERVICES</v>
      </c>
      <c r="C76" s="11"/>
      <c r="D76" s="6">
        <v>8351.15</v>
      </c>
      <c r="E76" s="2"/>
      <c r="F76" s="7">
        <f t="shared" si="36"/>
        <v>7.7498298520199765E-2</v>
      </c>
      <c r="G76" s="2"/>
      <c r="H76" s="6">
        <v>12325</v>
      </c>
      <c r="I76" s="2"/>
      <c r="J76" s="7">
        <f t="shared" si="37"/>
        <v>3.2006751931441924E-2</v>
      </c>
      <c r="K76" s="2"/>
      <c r="L76" s="6">
        <f t="shared" si="38"/>
        <v>-3973.8500000000004</v>
      </c>
      <c r="M76" s="2"/>
      <c r="N76" s="7">
        <f t="shared" si="39"/>
        <v>-0.32242190669371201</v>
      </c>
      <c r="O76" s="11"/>
      <c r="P76" s="6">
        <v>40950.83</v>
      </c>
      <c r="Q76" s="2"/>
      <c r="R76" s="7">
        <f t="shared" si="40"/>
        <v>7.4264190982663805E-2</v>
      </c>
      <c r="S76" s="2"/>
      <c r="T76" s="6">
        <v>61624.999999999993</v>
      </c>
      <c r="U76" s="2"/>
      <c r="V76" s="7">
        <f t="shared" si="41"/>
        <v>4.0132879720538389E-2</v>
      </c>
      <c r="W76" s="2"/>
      <c r="X76" s="6">
        <f t="shared" si="42"/>
        <v>-20674.169999999991</v>
      </c>
      <c r="Y76" s="2"/>
      <c r="Z76" s="7">
        <f t="shared" si="43"/>
        <v>-0.33548348884381329</v>
      </c>
    </row>
    <row r="77" spans="1:26" s="24" customFormat="1" hidden="1" outlineLevel="2" x14ac:dyDescent="0.25">
      <c r="A77" s="28"/>
      <c r="B77" s="11" t="str">
        <f>CONCATENATE("          ", "6286", " - ", "LAUNDRY EXPENSE")</f>
        <v xml:space="preserve">          6286 - LAUNDRY EXPENSE</v>
      </c>
      <c r="C77" s="11"/>
      <c r="D77" s="6">
        <v>769.68</v>
      </c>
      <c r="E77" s="2"/>
      <c r="F77" s="7">
        <f t="shared" si="36"/>
        <v>7.1425959784014604E-3</v>
      </c>
      <c r="G77" s="2"/>
      <c r="H77" s="6">
        <v>4500</v>
      </c>
      <c r="I77" s="2"/>
      <c r="J77" s="7">
        <f t="shared" si="37"/>
        <v>1.1686035187950399E-2</v>
      </c>
      <c r="K77" s="2"/>
      <c r="L77" s="6">
        <f t="shared" si="38"/>
        <v>-3730.32</v>
      </c>
      <c r="M77" s="2"/>
      <c r="N77" s="7">
        <f t="shared" si="39"/>
        <v>-0.82896000000000003</v>
      </c>
      <c r="O77" s="11"/>
      <c r="P77" s="6">
        <v>8076.34</v>
      </c>
      <c r="Q77" s="2"/>
      <c r="R77" s="7">
        <f t="shared" si="40"/>
        <v>1.4646415132512015E-2</v>
      </c>
      <c r="S77" s="2"/>
      <c r="T77" s="6">
        <v>22500</v>
      </c>
      <c r="U77" s="2"/>
      <c r="V77" s="7">
        <f t="shared" si="41"/>
        <v>1.4652978396951139E-2</v>
      </c>
      <c r="W77" s="2"/>
      <c r="X77" s="6">
        <f t="shared" si="42"/>
        <v>-14423.66</v>
      </c>
      <c r="Y77" s="2"/>
      <c r="Z77" s="7">
        <f t="shared" si="43"/>
        <v>-0.6410515555555556</v>
      </c>
    </row>
    <row r="78" spans="1:26" s="29" customFormat="1" outlineLevel="1" collapsed="1" x14ac:dyDescent="0.25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795</v>
      </c>
      <c r="E78" s="1"/>
      <c r="F78" s="5">
        <f t="shared" ref="F78:F90" si="44">IF(D$12=0,0,D78/D$12)</f>
        <v>7.3775644460414213E-3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795</v>
      </c>
      <c r="M78" s="1"/>
      <c r="N78" s="5">
        <f t="shared" ref="N78:N90" si="47">IF(H78=0,0,L78/H78)</f>
        <v>0</v>
      </c>
      <c r="O78" s="14"/>
      <c r="P78" s="1">
        <f>SUM(OSRRefP22_14x_0)</f>
        <v>795</v>
      </c>
      <c r="Q78" s="1"/>
      <c r="R78" s="5">
        <f t="shared" ref="R78:R90" si="48">IF(P$12=0,0,P78/P$12)</f>
        <v>1.4417297972035663E-3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8"/>
      <c r="B79" s="11" t="str">
        <f>CONCATENATE("          ", "6258", " - ", "MEMBERSHIP DUES")</f>
        <v xml:space="preserve">          6258 - MEMBERSHIP DUES</v>
      </c>
      <c r="C79" s="11"/>
      <c r="D79" s="6">
        <v>795</v>
      </c>
      <c r="E79" s="2"/>
      <c r="F79" s="7">
        <f t="shared" si="44"/>
        <v>7.3775644460414213E-3</v>
      </c>
      <c r="G79" s="2"/>
      <c r="H79" s="6"/>
      <c r="I79" s="2"/>
      <c r="J79" s="7">
        <f t="shared" si="45"/>
        <v>0</v>
      </c>
      <c r="K79" s="2"/>
      <c r="L79" s="6">
        <f t="shared" si="46"/>
        <v>795</v>
      </c>
      <c r="M79" s="2"/>
      <c r="N79" s="7">
        <f t="shared" si="47"/>
        <v>0</v>
      </c>
      <c r="O79" s="11"/>
      <c r="P79" s="6">
        <v>795</v>
      </c>
      <c r="Q79" s="2"/>
      <c r="R79" s="7">
        <f t="shared" si="48"/>
        <v>1.4417297972035663E-3</v>
      </c>
      <c r="S79" s="2"/>
      <c r="T79" s="6"/>
      <c r="U79" s="2"/>
      <c r="V79" s="7">
        <f t="shared" si="49"/>
        <v>0</v>
      </c>
      <c r="W79" s="2"/>
      <c r="X79" s="6">
        <f t="shared" si="50"/>
        <v>795</v>
      </c>
      <c r="Y79" s="2"/>
      <c r="Z79" s="7">
        <f t="shared" si="51"/>
        <v>0</v>
      </c>
    </row>
    <row r="80" spans="1:26" s="29" customFormat="1" outlineLevel="1" collapsed="1" x14ac:dyDescent="0.25">
      <c r="A80" s="27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21390.29</v>
      </c>
      <c r="E80" s="1"/>
      <c r="F80" s="5">
        <f t="shared" si="44"/>
        <v>0.19850093458429607</v>
      </c>
      <c r="G80" s="1"/>
      <c r="H80" s="1">
        <f>SUM(OSRRefH22_15x_0)</f>
        <v>25868</v>
      </c>
      <c r="I80" s="1"/>
      <c r="J80" s="5">
        <f t="shared" si="45"/>
        <v>6.7176524053755765E-2</v>
      </c>
      <c r="K80" s="1"/>
      <c r="L80" s="1">
        <f t="shared" si="46"/>
        <v>-4477.7099999999991</v>
      </c>
      <c r="M80" s="1"/>
      <c r="N80" s="5">
        <f t="shared" si="47"/>
        <v>-0.17309842276171328</v>
      </c>
      <c r="O80" s="14"/>
      <c r="P80" s="1">
        <f>SUM(OSRRefP22_15x_0)</f>
        <v>76003.199999999997</v>
      </c>
      <c r="Q80" s="1"/>
      <c r="R80" s="5">
        <f t="shared" si="48"/>
        <v>0.13783154480858123</v>
      </c>
      <c r="S80" s="1"/>
      <c r="T80" s="1">
        <f>SUM(OSRRefT22_15x_0)</f>
        <v>122802</v>
      </c>
      <c r="U80" s="1"/>
      <c r="V80" s="5">
        <f t="shared" si="49"/>
        <v>7.9974002360106392E-2</v>
      </c>
      <c r="W80" s="1"/>
      <c r="X80" s="1">
        <f t="shared" si="50"/>
        <v>-46798.8</v>
      </c>
      <c r="Y80" s="1"/>
      <c r="Z80" s="5">
        <f t="shared" si="51"/>
        <v>-0.38109151316753803</v>
      </c>
    </row>
    <row r="81" spans="1:26" s="24" customFormat="1" hidden="1" outlineLevel="2" x14ac:dyDescent="0.25">
      <c r="A81" s="28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44"/>
        <v>0</v>
      </c>
      <c r="G81" s="2"/>
      <c r="H81" s="6">
        <v>100</v>
      </c>
      <c r="I81" s="2"/>
      <c r="J81" s="7">
        <f t="shared" si="45"/>
        <v>2.5968967084334221E-4</v>
      </c>
      <c r="K81" s="2"/>
      <c r="L81" s="6">
        <f t="shared" si="46"/>
        <v>-100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500</v>
      </c>
      <c r="U81" s="2"/>
      <c r="V81" s="7">
        <f t="shared" si="49"/>
        <v>3.2562174215446972E-4</v>
      </c>
      <c r="W81" s="2"/>
      <c r="X81" s="6">
        <f t="shared" si="50"/>
        <v>-500</v>
      </c>
      <c r="Y81" s="2"/>
      <c r="Z81" s="7">
        <f t="shared" si="51"/>
        <v>-1</v>
      </c>
    </row>
    <row r="82" spans="1:26" s="24" customFormat="1" hidden="1" outlineLevel="2" x14ac:dyDescent="0.25">
      <c r="A82" s="28"/>
      <c r="B82" s="11" t="str">
        <f>CONCATENATE("          ", "6235", " - ", "COVID-19 EXPENSES")</f>
        <v xml:space="preserve">          6235 - COVID-19 EXPENSES</v>
      </c>
      <c r="C82" s="11"/>
      <c r="D82" s="6">
        <v>11925.52</v>
      </c>
      <c r="E82" s="2"/>
      <c r="F82" s="7">
        <f t="shared" si="44"/>
        <v>0.11066829226736591</v>
      </c>
      <c r="G82" s="2"/>
      <c r="H82" s="6">
        <v>12200</v>
      </c>
      <c r="I82" s="2"/>
      <c r="J82" s="7">
        <f t="shared" si="45"/>
        <v>3.1682139842887751E-2</v>
      </c>
      <c r="K82" s="2"/>
      <c r="L82" s="6">
        <f t="shared" si="46"/>
        <v>-274.47999999999956</v>
      </c>
      <c r="M82" s="2"/>
      <c r="N82" s="7">
        <f t="shared" si="47"/>
        <v>-2.2498360655737668E-2</v>
      </c>
      <c r="O82" s="11"/>
      <c r="P82" s="6">
        <v>43012.17</v>
      </c>
      <c r="Q82" s="2"/>
      <c r="R82" s="7">
        <f t="shared" si="48"/>
        <v>7.8002424064635617E-2</v>
      </c>
      <c r="S82" s="2"/>
      <c r="T82" s="6">
        <v>54000</v>
      </c>
      <c r="U82" s="2"/>
      <c r="V82" s="7">
        <f t="shared" si="49"/>
        <v>3.516714815268273E-2</v>
      </c>
      <c r="W82" s="2"/>
      <c r="X82" s="6">
        <f t="shared" si="50"/>
        <v>-10987.830000000002</v>
      </c>
      <c r="Y82" s="2"/>
      <c r="Z82" s="7">
        <f t="shared" si="51"/>
        <v>-0.20347833333333337</v>
      </c>
    </row>
    <row r="83" spans="1:26" s="24" customFormat="1" hidden="1" outlineLevel="2" x14ac:dyDescent="0.25">
      <c r="A83" s="28"/>
      <c r="B83" s="11" t="str">
        <f>CONCATENATE("          ", "6237", " - ", "JANITORIAL SUPPLIES")</f>
        <v xml:space="preserve">          6237 - JANITORIAL SUPPLIES</v>
      </c>
      <c r="C83" s="11"/>
      <c r="D83" s="6">
        <v>390.1</v>
      </c>
      <c r="E83" s="2"/>
      <c r="F83" s="7">
        <f t="shared" si="44"/>
        <v>3.6201105539632188E-3</v>
      </c>
      <c r="G83" s="2"/>
      <c r="H83" s="6">
        <v>9000</v>
      </c>
      <c r="I83" s="2"/>
      <c r="J83" s="7">
        <f t="shared" si="45"/>
        <v>2.3372070375900798E-2</v>
      </c>
      <c r="K83" s="2"/>
      <c r="L83" s="6">
        <f t="shared" si="46"/>
        <v>-8609.9</v>
      </c>
      <c r="M83" s="2"/>
      <c r="N83" s="7">
        <f t="shared" si="47"/>
        <v>-0.95665555555555548</v>
      </c>
      <c r="O83" s="11"/>
      <c r="P83" s="6">
        <v>8282.26</v>
      </c>
      <c r="Q83" s="2"/>
      <c r="R83" s="7">
        <f t="shared" si="48"/>
        <v>1.5019850352436741E-2</v>
      </c>
      <c r="S83" s="2"/>
      <c r="T83" s="6">
        <v>41000</v>
      </c>
      <c r="U83" s="2"/>
      <c r="V83" s="7">
        <f t="shared" si="49"/>
        <v>2.6700982856666521E-2</v>
      </c>
      <c r="W83" s="2"/>
      <c r="X83" s="6">
        <f t="shared" si="50"/>
        <v>-32717.739999999998</v>
      </c>
      <c r="Y83" s="2"/>
      <c r="Z83" s="7">
        <f t="shared" si="51"/>
        <v>-0.79799365853658533</v>
      </c>
    </row>
    <row r="84" spans="1:26" s="24" customFormat="1" hidden="1" outlineLevel="2" x14ac:dyDescent="0.25">
      <c r="A84" s="28"/>
      <c r="B84" s="11" t="str">
        <f>CONCATENATE("          ", "6239", " - ", "KITCHEN SUPPLIES")</f>
        <v xml:space="preserve">          6239 - KITCHEN SUPPLIES</v>
      </c>
      <c r="C84" s="11"/>
      <c r="D84" s="6">
        <v>1494.83</v>
      </c>
      <c r="E84" s="2"/>
      <c r="F84" s="7">
        <f t="shared" si="44"/>
        <v>1.387195554827182E-2</v>
      </c>
      <c r="G84" s="2"/>
      <c r="H84" s="6">
        <v>2300</v>
      </c>
      <c r="I84" s="2"/>
      <c r="J84" s="7">
        <f t="shared" si="45"/>
        <v>5.9728624293968711E-3</v>
      </c>
      <c r="K84" s="2"/>
      <c r="L84" s="6">
        <f t="shared" si="46"/>
        <v>-805.17000000000007</v>
      </c>
      <c r="M84" s="2"/>
      <c r="N84" s="7">
        <f t="shared" si="47"/>
        <v>-0.35007391304347829</v>
      </c>
      <c r="O84" s="11"/>
      <c r="P84" s="6">
        <v>5666.51</v>
      </c>
      <c r="Q84" s="2"/>
      <c r="R84" s="7">
        <f t="shared" si="48"/>
        <v>1.0276196620316957E-2</v>
      </c>
      <c r="S84" s="2"/>
      <c r="T84" s="6">
        <v>10700</v>
      </c>
      <c r="U84" s="2"/>
      <c r="V84" s="7">
        <f t="shared" si="49"/>
        <v>6.9683052821056524E-3</v>
      </c>
      <c r="W84" s="2"/>
      <c r="X84" s="6">
        <f t="shared" si="50"/>
        <v>-5033.49</v>
      </c>
      <c r="Y84" s="2"/>
      <c r="Z84" s="7">
        <f t="shared" si="51"/>
        <v>-0.4704196261682243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6">
        <v>1207.05</v>
      </c>
      <c r="E85" s="2"/>
      <c r="F85" s="7">
        <f t="shared" si="44"/>
        <v>1.1201370018357608E-2</v>
      </c>
      <c r="G85" s="2"/>
      <c r="H85" s="6">
        <v>1000</v>
      </c>
      <c r="I85" s="2"/>
      <c r="J85" s="7">
        <f t="shared" si="45"/>
        <v>2.5968967084334222E-3</v>
      </c>
      <c r="K85" s="2"/>
      <c r="L85" s="6">
        <f t="shared" si="46"/>
        <v>207.04999999999995</v>
      </c>
      <c r="M85" s="2"/>
      <c r="N85" s="7">
        <f t="shared" si="47"/>
        <v>0.20704999999999996</v>
      </c>
      <c r="O85" s="11"/>
      <c r="P85" s="6">
        <v>2561.98</v>
      </c>
      <c r="Q85" s="2"/>
      <c r="R85" s="7">
        <f t="shared" si="48"/>
        <v>4.6461420199240162E-3</v>
      </c>
      <c r="S85" s="2"/>
      <c r="T85" s="6">
        <v>4750</v>
      </c>
      <c r="U85" s="2"/>
      <c r="V85" s="7">
        <f t="shared" si="49"/>
        <v>3.0934065504674628E-3</v>
      </c>
      <c r="W85" s="2"/>
      <c r="X85" s="6">
        <f t="shared" si="50"/>
        <v>-2188.02</v>
      </c>
      <c r="Y85" s="2"/>
      <c r="Z85" s="7">
        <f t="shared" si="51"/>
        <v>-0.46063578947368422</v>
      </c>
    </row>
    <row r="86" spans="1:26" s="24" customFormat="1" hidden="1" outlineLevel="2" x14ac:dyDescent="0.25">
      <c r="A86" s="28"/>
      <c r="B86" s="11" t="str">
        <f>CONCATENATE("          ", "6243", " - ", "PAPER SUPPLIES")</f>
        <v xml:space="preserve">          6243 - PAPER SUPPLIES</v>
      </c>
      <c r="C86" s="11"/>
      <c r="D86" s="6">
        <v>5686.88</v>
      </c>
      <c r="E86" s="2"/>
      <c r="F86" s="7">
        <f t="shared" si="44"/>
        <v>5.2773992071577409E-2</v>
      </c>
      <c r="G86" s="2"/>
      <c r="H86" s="6">
        <v>500</v>
      </c>
      <c r="I86" s="2"/>
      <c r="J86" s="7">
        <f t="shared" si="45"/>
        <v>1.2984483542167111E-3</v>
      </c>
      <c r="K86" s="2"/>
      <c r="L86" s="6">
        <f t="shared" si="46"/>
        <v>5186.88</v>
      </c>
      <c r="M86" s="2"/>
      <c r="N86" s="7">
        <f t="shared" si="47"/>
        <v>10.373760000000001</v>
      </c>
      <c r="O86" s="11"/>
      <c r="P86" s="6">
        <v>11979.69</v>
      </c>
      <c r="Q86" s="2"/>
      <c r="R86" s="7">
        <f t="shared" si="48"/>
        <v>2.1725127087121501E-2</v>
      </c>
      <c r="S86" s="2"/>
      <c r="T86" s="6">
        <v>2500</v>
      </c>
      <c r="U86" s="2"/>
      <c r="V86" s="7">
        <f t="shared" si="49"/>
        <v>1.6281087107723488E-3</v>
      </c>
      <c r="W86" s="2"/>
      <c r="X86" s="6">
        <f t="shared" si="50"/>
        <v>9479.69</v>
      </c>
      <c r="Y86" s="2"/>
      <c r="Z86" s="7">
        <f t="shared" si="51"/>
        <v>3.7918760000000002</v>
      </c>
    </row>
    <row r="87" spans="1:26" s="24" customFormat="1" hidden="1" outlineLevel="2" x14ac:dyDescent="0.25">
      <c r="A87" s="28"/>
      <c r="B87" s="11" t="str">
        <f>CONCATENATE("          ", "6244", " - ", "SAFETY SUPPLY EXPENSE")</f>
        <v xml:space="preserve">          6244 - SAFETY SUPPLY EXPENSE</v>
      </c>
      <c r="C87" s="11"/>
      <c r="D87" s="6"/>
      <c r="E87" s="2"/>
      <c r="F87" s="7">
        <f t="shared" si="44"/>
        <v>0</v>
      </c>
      <c r="G87" s="2"/>
      <c r="H87" s="6">
        <v>100</v>
      </c>
      <c r="I87" s="2"/>
      <c r="J87" s="7">
        <f t="shared" si="45"/>
        <v>2.5968967084334221E-4</v>
      </c>
      <c r="K87" s="2"/>
      <c r="L87" s="6">
        <f t="shared" si="46"/>
        <v>-100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680</v>
      </c>
      <c r="U87" s="2"/>
      <c r="V87" s="7">
        <f t="shared" si="49"/>
        <v>4.4284556933007883E-4</v>
      </c>
      <c r="W87" s="2"/>
      <c r="X87" s="6">
        <f t="shared" si="50"/>
        <v>-680</v>
      </c>
      <c r="Y87" s="2"/>
      <c r="Z87" s="7">
        <f t="shared" si="51"/>
        <v>-1</v>
      </c>
    </row>
    <row r="88" spans="1:26" s="24" customFormat="1" hidden="1" outlineLevel="2" x14ac:dyDescent="0.25">
      <c r="A88" s="28"/>
      <c r="B88" s="11" t="str">
        <f>CONCATENATE("          ", "6245", " - ", "PRINTING")</f>
        <v xml:space="preserve">          6245 - PRINTING</v>
      </c>
      <c r="C88" s="11"/>
      <c r="D88" s="6"/>
      <c r="E88" s="2"/>
      <c r="F88" s="7">
        <f t="shared" si="44"/>
        <v>0</v>
      </c>
      <c r="G88" s="2"/>
      <c r="H88" s="6">
        <v>150</v>
      </c>
      <c r="I88" s="2"/>
      <c r="J88" s="7">
        <f t="shared" si="45"/>
        <v>3.8953450626501328E-4</v>
      </c>
      <c r="K88" s="2"/>
      <c r="L88" s="6">
        <f t="shared" si="46"/>
        <v>-150</v>
      </c>
      <c r="M88" s="2"/>
      <c r="N88" s="7">
        <f t="shared" si="47"/>
        <v>-1</v>
      </c>
      <c r="O88" s="11"/>
      <c r="P88" s="6"/>
      <c r="Q88" s="2"/>
      <c r="R88" s="7">
        <f t="shared" si="48"/>
        <v>0</v>
      </c>
      <c r="S88" s="2"/>
      <c r="T88" s="6">
        <v>1750</v>
      </c>
      <c r="U88" s="2"/>
      <c r="V88" s="7">
        <f t="shared" si="49"/>
        <v>1.139676097540644E-3</v>
      </c>
      <c r="W88" s="2"/>
      <c r="X88" s="6">
        <f t="shared" si="50"/>
        <v>-1750</v>
      </c>
      <c r="Y88" s="2"/>
      <c r="Z88" s="7">
        <f t="shared" si="51"/>
        <v>-1</v>
      </c>
    </row>
    <row r="89" spans="1:26" s="24" customFormat="1" hidden="1" outlineLevel="2" x14ac:dyDescent="0.25">
      <c r="A89" s="28"/>
      <c r="B89" s="11" t="str">
        <f>CONCATENATE("          ", "6247", " - ", "STORE SUPPLIES")</f>
        <v xml:space="preserve">          6247 - STORE SUPPLIES</v>
      </c>
      <c r="C89" s="11"/>
      <c r="D89" s="6"/>
      <c r="E89" s="2"/>
      <c r="F89" s="7">
        <f t="shared" si="44"/>
        <v>0</v>
      </c>
      <c r="G89" s="2"/>
      <c r="H89" s="6">
        <v>18</v>
      </c>
      <c r="I89" s="2"/>
      <c r="J89" s="7">
        <f t="shared" si="45"/>
        <v>4.6744140751801597E-5</v>
      </c>
      <c r="K89" s="2"/>
      <c r="L89" s="6">
        <f t="shared" si="46"/>
        <v>-18</v>
      </c>
      <c r="M89" s="2"/>
      <c r="N89" s="7">
        <f t="shared" si="47"/>
        <v>-1</v>
      </c>
      <c r="O89" s="11"/>
      <c r="P89" s="6"/>
      <c r="Q89" s="2"/>
      <c r="R89" s="7">
        <f t="shared" si="48"/>
        <v>0</v>
      </c>
      <c r="S89" s="2"/>
      <c r="T89" s="6">
        <v>72</v>
      </c>
      <c r="U89" s="2"/>
      <c r="V89" s="7">
        <f t="shared" si="49"/>
        <v>4.6889530870243643E-5</v>
      </c>
      <c r="W89" s="2"/>
      <c r="X89" s="6">
        <f t="shared" si="50"/>
        <v>-72</v>
      </c>
      <c r="Y89" s="2"/>
      <c r="Z89" s="7">
        <f t="shared" si="51"/>
        <v>-1</v>
      </c>
    </row>
    <row r="90" spans="1:26" s="24" customFormat="1" hidden="1" outlineLevel="2" x14ac:dyDescent="0.25">
      <c r="A90" s="28"/>
      <c r="B90" s="11" t="str">
        <f>CONCATENATE("          ", "6248", " - ", "UNIFORMS")</f>
        <v xml:space="preserve">          6248 - UNIFORMS</v>
      </c>
      <c r="C90" s="11"/>
      <c r="D90" s="6">
        <v>685.91</v>
      </c>
      <c r="E90" s="2"/>
      <c r="F90" s="7">
        <f t="shared" si="44"/>
        <v>6.3652141247600895E-3</v>
      </c>
      <c r="G90" s="2"/>
      <c r="H90" s="6">
        <v>500</v>
      </c>
      <c r="I90" s="2"/>
      <c r="J90" s="7">
        <f t="shared" si="45"/>
        <v>1.2984483542167111E-3</v>
      </c>
      <c r="K90" s="2"/>
      <c r="L90" s="6">
        <f t="shared" si="46"/>
        <v>185.90999999999997</v>
      </c>
      <c r="M90" s="2"/>
      <c r="N90" s="7">
        <f t="shared" si="47"/>
        <v>0.37181999999999993</v>
      </c>
      <c r="O90" s="11"/>
      <c r="P90" s="6">
        <v>4500.59</v>
      </c>
      <c r="Q90" s="2"/>
      <c r="R90" s="7">
        <f t="shared" si="48"/>
        <v>8.1618046641464131E-3</v>
      </c>
      <c r="S90" s="2"/>
      <c r="T90" s="6">
        <v>6850</v>
      </c>
      <c r="U90" s="2"/>
      <c r="V90" s="7">
        <f t="shared" si="49"/>
        <v>4.4610178675162353E-3</v>
      </c>
      <c r="W90" s="2"/>
      <c r="X90" s="6">
        <f t="shared" si="50"/>
        <v>-2349.41</v>
      </c>
      <c r="Y90" s="2"/>
      <c r="Z90" s="7">
        <f t="shared" si="51"/>
        <v>-0.34297956204379559</v>
      </c>
    </row>
    <row r="91" spans="1:26" s="29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SUM(OSRRefD22_16x_0)</f>
        <v>498</v>
      </c>
      <c r="E91" s="1"/>
      <c r="F91" s="5">
        <f t="shared" ref="F91:F93" si="52">IF(D$12=0,0,D91/D$12)</f>
        <v>4.6214177284636827E-3</v>
      </c>
      <c r="G91" s="1"/>
      <c r="H91" s="1">
        <f>SUM(OSRRefH22_16x_0)</f>
        <v>725</v>
      </c>
      <c r="I91" s="1"/>
      <c r="J91" s="5">
        <f t="shared" ref="J91:J93" si="53">IF(H$12=0,0,H91/H$12)</f>
        <v>1.882750113614231E-3</v>
      </c>
      <c r="K91" s="1"/>
      <c r="L91" s="1">
        <f t="shared" ref="L91:L93" si="54">+D91-H91</f>
        <v>-227</v>
      </c>
      <c r="M91" s="1"/>
      <c r="N91" s="5">
        <f t="shared" ref="N91:N93" si="55">IF(H91=0,0,L91/H91)</f>
        <v>-0.31310344827586206</v>
      </c>
      <c r="O91" s="14"/>
      <c r="P91" s="1">
        <f>SUM(OSRRefP22_16x_0)</f>
        <v>3285.32</v>
      </c>
      <c r="Q91" s="1"/>
      <c r="R91" s="5">
        <f t="shared" ref="R91:R93" si="56">IF(P$12=0,0,P91/P$12)</f>
        <v>5.957916650753234E-3</v>
      </c>
      <c r="S91" s="1"/>
      <c r="T91" s="1">
        <f>SUM(OSRRefT22_16x_0)</f>
        <v>3625</v>
      </c>
      <c r="U91" s="1"/>
      <c r="V91" s="5">
        <f t="shared" ref="V91:V93" si="57">IF(T$12=0,0,T91/T$12)</f>
        <v>2.3607576306199055E-3</v>
      </c>
      <c r="W91" s="1"/>
      <c r="X91" s="1">
        <f t="shared" ref="X91:X93" si="58">+P91-T91</f>
        <v>-339.67999999999984</v>
      </c>
      <c r="Y91" s="1"/>
      <c r="Z91" s="5">
        <f t="shared" ref="Z91:Z93" si="59">IF(T91=0,0,X91/T91)</f>
        <v>-9.3704827586206851E-2</v>
      </c>
    </row>
    <row r="92" spans="1:26" s="24" customFormat="1" hidden="1" outlineLevel="2" x14ac:dyDescent="0.25">
      <c r="A92" s="28"/>
      <c r="B92" s="11" t="str">
        <f>CONCATENATE("          ", "6303", " - ", "DATA PHONE LINES")</f>
        <v xml:space="preserve">          6303 - DATA PHONE LINES</v>
      </c>
      <c r="C92" s="11"/>
      <c r="D92" s="6"/>
      <c r="E92" s="2"/>
      <c r="F92" s="7">
        <f t="shared" si="52"/>
        <v>0</v>
      </c>
      <c r="G92" s="2"/>
      <c r="H92" s="6">
        <v>500</v>
      </c>
      <c r="I92" s="2"/>
      <c r="J92" s="7">
        <f t="shared" si="53"/>
        <v>1.2984483542167111E-3</v>
      </c>
      <c r="K92" s="2"/>
      <c r="L92" s="6">
        <f t="shared" si="54"/>
        <v>-500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2500</v>
      </c>
      <c r="U92" s="2"/>
      <c r="V92" s="7">
        <f t="shared" si="57"/>
        <v>1.6281087107723488E-3</v>
      </c>
      <c r="W92" s="2"/>
      <c r="X92" s="6">
        <f t="shared" si="58"/>
        <v>-2500</v>
      </c>
      <c r="Y92" s="2"/>
      <c r="Z92" s="7">
        <f t="shared" si="59"/>
        <v>-1</v>
      </c>
    </row>
    <row r="93" spans="1:26" s="24" customFormat="1" hidden="1" outlineLevel="2" x14ac:dyDescent="0.25">
      <c r="A93" s="28"/>
      <c r="B93" s="11" t="str">
        <f>CONCATENATE("          ", "6309", " - ", "TELEPHONE")</f>
        <v xml:space="preserve">          6309 - TELEPHONE</v>
      </c>
      <c r="C93" s="11"/>
      <c r="D93" s="6">
        <v>498</v>
      </c>
      <c r="E93" s="2"/>
      <c r="F93" s="7">
        <f t="shared" si="52"/>
        <v>4.6214177284636827E-3</v>
      </c>
      <c r="G93" s="2"/>
      <c r="H93" s="6">
        <v>225</v>
      </c>
      <c r="I93" s="2"/>
      <c r="J93" s="7">
        <f t="shared" si="53"/>
        <v>5.8430175939751998E-4</v>
      </c>
      <c r="K93" s="2"/>
      <c r="L93" s="6">
        <f t="shared" si="54"/>
        <v>273</v>
      </c>
      <c r="M93" s="2"/>
      <c r="N93" s="7">
        <f t="shared" si="55"/>
        <v>1.2133333333333334</v>
      </c>
      <c r="O93" s="11"/>
      <c r="P93" s="6">
        <v>3285.32</v>
      </c>
      <c r="Q93" s="2"/>
      <c r="R93" s="7">
        <f t="shared" si="56"/>
        <v>5.957916650753234E-3</v>
      </c>
      <c r="S93" s="2"/>
      <c r="T93" s="6">
        <v>1125</v>
      </c>
      <c r="U93" s="2"/>
      <c r="V93" s="7">
        <f t="shared" si="57"/>
        <v>7.3264891984755687E-4</v>
      </c>
      <c r="W93" s="2"/>
      <c r="X93" s="6">
        <f t="shared" si="58"/>
        <v>2160.3200000000002</v>
      </c>
      <c r="Y93" s="2"/>
      <c r="Z93" s="7">
        <f t="shared" si="59"/>
        <v>1.9202844444444447</v>
      </c>
    </row>
    <row r="94" spans="1:26" s="29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SUM(OSRRefD22_17x_0)</f>
        <v>0</v>
      </c>
      <c r="E94" s="1"/>
      <c r="F94" s="5">
        <f t="shared" ref="F94:F97" si="60">IF(D$12=0,0,D94/D$12)</f>
        <v>0</v>
      </c>
      <c r="G94" s="1"/>
      <c r="H94" s="1">
        <f>SUM(OSRRefH22_17x_0)</f>
        <v>750</v>
      </c>
      <c r="I94" s="1"/>
      <c r="J94" s="5">
        <f t="shared" ref="J94:J97" si="61">IF(H$12=0,0,H94/H$12)</f>
        <v>1.9476725313250665E-3</v>
      </c>
      <c r="K94" s="1"/>
      <c r="L94" s="1">
        <f t="shared" ref="L94:L97" si="62">+D94-H94</f>
        <v>-750</v>
      </c>
      <c r="M94" s="1"/>
      <c r="N94" s="5">
        <f t="shared" ref="N94:N97" si="63">IF(H94=0,0,L94/H94)</f>
        <v>-1</v>
      </c>
      <c r="O94" s="14"/>
      <c r="P94" s="1">
        <f>SUM(OSRRefP22_17x_0)</f>
        <v>735</v>
      </c>
      <c r="Q94" s="1"/>
      <c r="R94" s="5">
        <f t="shared" ref="R94:R97" si="64">IF(P$12=0,0,P94/P$12)</f>
        <v>1.3329200011882028E-3</v>
      </c>
      <c r="S94" s="1"/>
      <c r="T94" s="1">
        <f>SUM(OSRRefT22_17x_0)</f>
        <v>3400</v>
      </c>
      <c r="U94" s="1"/>
      <c r="V94" s="5">
        <f t="shared" ref="V94:V97" si="65">IF(T$12=0,0,T94/T$12)</f>
        <v>2.2142278466503944E-3</v>
      </c>
      <c r="W94" s="1"/>
      <c r="X94" s="1">
        <f t="shared" ref="X94:X97" si="66">+P94-T94</f>
        <v>-2665</v>
      </c>
      <c r="Y94" s="1"/>
      <c r="Z94" s="5">
        <f t="shared" ref="Z94:Z97" si="67">IF(T94=0,0,X94/T94)</f>
        <v>-0.7838235294117647</v>
      </c>
    </row>
    <row r="95" spans="1:26" s="24" customFormat="1" hidden="1" outlineLevel="2" x14ac:dyDescent="0.25">
      <c r="A95" s="28"/>
      <c r="B95" s="11" t="str">
        <f>CONCATENATE("          ", "6376", " - ", "TRAINING")</f>
        <v xml:space="preserve">          6376 - TRAINING</v>
      </c>
      <c r="C95" s="11"/>
      <c r="D95" s="6"/>
      <c r="E95" s="2"/>
      <c r="F95" s="7">
        <f t="shared" si="60"/>
        <v>0</v>
      </c>
      <c r="G95" s="2"/>
      <c r="H95" s="6">
        <v>750</v>
      </c>
      <c r="I95" s="2"/>
      <c r="J95" s="7">
        <f t="shared" si="61"/>
        <v>1.9476725313250665E-3</v>
      </c>
      <c r="K95" s="2"/>
      <c r="L95" s="6">
        <f t="shared" si="62"/>
        <v>-750</v>
      </c>
      <c r="M95" s="2"/>
      <c r="N95" s="7">
        <f t="shared" si="63"/>
        <v>-1</v>
      </c>
      <c r="O95" s="11"/>
      <c r="P95" s="6">
        <v>735</v>
      </c>
      <c r="Q95" s="2"/>
      <c r="R95" s="7">
        <f t="shared" si="64"/>
        <v>1.3329200011882028E-3</v>
      </c>
      <c r="S95" s="2"/>
      <c r="T95" s="6">
        <v>3400</v>
      </c>
      <c r="U95" s="2"/>
      <c r="V95" s="7">
        <f t="shared" si="65"/>
        <v>2.2142278466503944E-3</v>
      </c>
      <c r="W95" s="2"/>
      <c r="X95" s="6">
        <f t="shared" si="66"/>
        <v>-2665</v>
      </c>
      <c r="Y95" s="2"/>
      <c r="Z95" s="7">
        <f t="shared" si="67"/>
        <v>-0.7838235294117647</v>
      </c>
    </row>
    <row r="96" spans="1:26" s="29" customFormat="1" outlineLevel="1" collapsed="1" x14ac:dyDescent="0.25">
      <c r="A96" s="27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7.7906901253002657E-4</v>
      </c>
      <c r="K96" s="1"/>
      <c r="L96" s="1">
        <f t="shared" si="62"/>
        <v>-300</v>
      </c>
      <c r="M96" s="1"/>
      <c r="N96" s="5">
        <f t="shared" si="63"/>
        <v>-1</v>
      </c>
      <c r="O96" s="14"/>
      <c r="P96" s="1">
        <f>SUM(OSRRefP22_18x_0)</f>
        <v>0</v>
      </c>
      <c r="Q96" s="1"/>
      <c r="R96" s="5">
        <f t="shared" si="64"/>
        <v>0</v>
      </c>
      <c r="S96" s="1"/>
      <c r="T96" s="1">
        <f>SUM(OSRRefT22_18x_0)</f>
        <v>1500</v>
      </c>
      <c r="U96" s="1"/>
      <c r="V96" s="5">
        <f t="shared" si="65"/>
        <v>9.7686522646340916E-4</v>
      </c>
      <c r="W96" s="1"/>
      <c r="X96" s="1">
        <f t="shared" si="66"/>
        <v>-1500</v>
      </c>
      <c r="Y96" s="1"/>
      <c r="Z96" s="5">
        <f t="shared" si="67"/>
        <v>-1</v>
      </c>
    </row>
    <row r="97" spans="1:26" s="24" customFormat="1" hidden="1" outlineLevel="2" x14ac:dyDescent="0.25">
      <c r="A97" s="28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60"/>
        <v>0</v>
      </c>
      <c r="G97" s="2"/>
      <c r="H97" s="6">
        <v>300</v>
      </c>
      <c r="I97" s="2"/>
      <c r="J97" s="7">
        <f t="shared" si="61"/>
        <v>7.7906901253002657E-4</v>
      </c>
      <c r="K97" s="2"/>
      <c r="L97" s="6">
        <f t="shared" si="62"/>
        <v>-300</v>
      </c>
      <c r="M97" s="2"/>
      <c r="N97" s="7">
        <f t="shared" si="63"/>
        <v>-1</v>
      </c>
      <c r="O97" s="11"/>
      <c r="P97" s="6"/>
      <c r="Q97" s="2"/>
      <c r="R97" s="7">
        <f t="shared" si="64"/>
        <v>0</v>
      </c>
      <c r="S97" s="2"/>
      <c r="T97" s="6">
        <v>1500</v>
      </c>
      <c r="U97" s="2"/>
      <c r="V97" s="7">
        <f t="shared" si="65"/>
        <v>9.7686522646340916E-4</v>
      </c>
      <c r="W97" s="2"/>
      <c r="X97" s="6">
        <f t="shared" si="66"/>
        <v>-1500</v>
      </c>
      <c r="Y97" s="2"/>
      <c r="Z97" s="7">
        <f t="shared" si="67"/>
        <v>-1</v>
      </c>
    </row>
    <row r="98" spans="1:26" s="62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6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21">
        <f>+D23-D25+D99</f>
        <v>-174656.75999999995</v>
      </c>
      <c r="E101" s="13"/>
      <c r="F101" s="20">
        <f>IF(D$12=0,0,D101/D$12)</f>
        <v>-1.620806921807282</v>
      </c>
      <c r="G101" s="13"/>
      <c r="H101" s="21">
        <f>+H23-H25+H99</f>
        <v>-77078.769683876191</v>
      </c>
      <c r="I101" s="13"/>
      <c r="J101" s="20">
        <f>IF(H$12=0,0,H101/H$12)</f>
        <v>-0.20016560328215591</v>
      </c>
      <c r="K101" s="16"/>
      <c r="L101" s="21">
        <f>+D101-H101</f>
        <v>-97577.99031612376</v>
      </c>
      <c r="M101" s="16"/>
      <c r="N101" s="20">
        <f>IF(H101=0,0,L101/H101)</f>
        <v>1.2659515806534172</v>
      </c>
      <c r="O101" s="26"/>
      <c r="P101" s="21">
        <f>+P23-P25+P99</f>
        <v>-819825.16999999981</v>
      </c>
      <c r="Q101" s="13"/>
      <c r="R101" s="20">
        <f>IF(P$12=0,0,P101/P$12)</f>
        <v>-1.4867501585993446</v>
      </c>
      <c r="S101" s="13"/>
      <c r="T101" s="21">
        <f>+T23-T25+T99</f>
        <v>-643270.09143219376</v>
      </c>
      <c r="U101" s="13"/>
      <c r="V101" s="20">
        <f>IF(T$12=0,0,T101/T$12)</f>
        <v>-0.41892545569603196</v>
      </c>
      <c r="W101" s="16"/>
      <c r="X101" s="21">
        <f>+P101-T101</f>
        <v>-176555.07856780605</v>
      </c>
      <c r="Y101" s="16"/>
      <c r="Z101" s="20">
        <f>IF(T101=0,0,X101/T101)</f>
        <v>0.27446492681591816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-8485.89</v>
      </c>
      <c r="E103" s="4"/>
      <c r="F103" s="12">
        <f>IF(D$12=0,0,D103/D$12)</f>
        <v>-7.8748679694362805E-2</v>
      </c>
      <c r="G103" s="4"/>
      <c r="H103" s="4">
        <v>85509</v>
      </c>
      <c r="I103" s="4"/>
      <c r="J103" s="12">
        <f>IF(H$12=0,0,H103/H$12)</f>
        <v>0.22205804064143347</v>
      </c>
      <c r="K103" s="4"/>
      <c r="L103" s="4">
        <f>+D103-H103</f>
        <v>-93994.89</v>
      </c>
      <c r="M103" s="4"/>
      <c r="N103" s="12">
        <f>IF(H103=0,0,L103/H103)</f>
        <v>-1.0992397291513174</v>
      </c>
      <c r="O103" s="10"/>
      <c r="P103" s="4">
        <v>87620.800000000003</v>
      </c>
      <c r="Q103" s="4"/>
      <c r="R103" s="12">
        <f>IF(P$12=0,0,P103/P$12)</f>
        <v>0.15890002291171604</v>
      </c>
      <c r="S103" s="4"/>
      <c r="T103" s="4">
        <v>273860</v>
      </c>
      <c r="U103" s="4"/>
      <c r="V103" s="12">
        <f>IF(T$12=0,0,T103/T$12)</f>
        <v>0.17834954061284616</v>
      </c>
      <c r="W103" s="4"/>
      <c r="X103" s="4">
        <f>+P103-T103</f>
        <v>-186239.2</v>
      </c>
      <c r="Y103" s="4"/>
      <c r="Z103" s="12">
        <f>IF(T103=0,0,X103/T103)</f>
        <v>-0.68005258161104221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1">
        <f>+D101-D103</f>
        <v>-166170.86999999994</v>
      </c>
      <c r="E105" s="13"/>
      <c r="F105" s="34">
        <f>IF(D$12=0,0,D105/D$12)</f>
        <v>-1.542058242112919</v>
      </c>
      <c r="G105" s="13"/>
      <c r="H105" s="31">
        <f>+H101-H103</f>
        <v>-162587.76968387619</v>
      </c>
      <c r="I105" s="13"/>
      <c r="J105" s="34">
        <f>IF(H$12=0,0,H105/H$12)</f>
        <v>-0.42222364392358941</v>
      </c>
      <c r="K105" s="16"/>
      <c r="L105" s="31">
        <f>D105-H105</f>
        <v>-3583.1003161237459</v>
      </c>
      <c r="M105" s="16"/>
      <c r="N105" s="34">
        <f>IF(H105=0,0,L105/H105)</f>
        <v>2.2037944939465405E-2</v>
      </c>
      <c r="O105" s="26"/>
      <c r="P105" s="31">
        <f>+P101-P103</f>
        <v>-907445.96999999986</v>
      </c>
      <c r="Q105" s="13"/>
      <c r="R105" s="34">
        <f>IF(P$12=0,0,P105/P$12)</f>
        <v>-1.6456501815110607</v>
      </c>
      <c r="S105" s="13"/>
      <c r="T105" s="31">
        <f>+T101-T103</f>
        <v>-917130.09143219376</v>
      </c>
      <c r="U105" s="13"/>
      <c r="V105" s="34">
        <f>IF(T$12=0,0,T105/T$12)</f>
        <v>-0.59727499630887815</v>
      </c>
      <c r="W105" s="16"/>
      <c r="X105" s="31">
        <f>P105-T105</f>
        <v>9684.1214321939042</v>
      </c>
      <c r="Y105" s="16"/>
      <c r="Z105" s="34">
        <f>IF(T105=0,0,X105/T105)</f>
        <v>-1.0559157880286257E-2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3">
        <f>SUM(D105:D107)</f>
        <v>-166170.86999999994</v>
      </c>
      <c r="E108" s="13"/>
      <c r="F108" s="30">
        <f>IF(D$12=0,0,D108/D$12)</f>
        <v>-1.542058242112919</v>
      </c>
      <c r="G108" s="13"/>
      <c r="H108" s="33">
        <f>SUM(H105:H107)</f>
        <v>-162587.76968387619</v>
      </c>
      <c r="I108" s="13"/>
      <c r="J108" s="30">
        <f>IF(H$12=0,0,H108/H$12)</f>
        <v>-0.42222364392358941</v>
      </c>
      <c r="K108" s="16"/>
      <c r="L108" s="33">
        <f>+D108-H108</f>
        <v>-3583.1003161237459</v>
      </c>
      <c r="M108" s="16"/>
      <c r="N108" s="30">
        <f>IF(H108=0,0,L108/H108)</f>
        <v>2.2037944939465405E-2</v>
      </c>
      <c r="O108" s="26"/>
      <c r="P108" s="33">
        <f>SUM(P105:P107)</f>
        <v>-907445.96999999986</v>
      </c>
      <c r="Q108" s="13"/>
      <c r="R108" s="30">
        <f>IF(P$12=0,0,P108/P$12)</f>
        <v>-1.6456501815110607</v>
      </c>
      <c r="S108" s="13"/>
      <c r="T108" s="33">
        <f>SUM(T105:T107)</f>
        <v>-917130.09143219376</v>
      </c>
      <c r="U108" s="13"/>
      <c r="V108" s="30">
        <f>IF(T$12=0,0,T108/T$12)</f>
        <v>-0.59727499630887815</v>
      </c>
      <c r="W108" s="16"/>
      <c r="X108" s="33">
        <f>+P108-T108</f>
        <v>9684.1214321939042</v>
      </c>
      <c r="Y108" s="16"/>
      <c r="Z108" s="30">
        <f>IF(T108=0,0,X108/T108)</f>
        <v>-1.0559157880286257E-2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5">
        <v>44174.679241666665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7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3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14697.869999999999</v>
      </c>
      <c r="E18" s="19"/>
      <c r="F18" s="35">
        <f t="shared" ref="F18:F28" si="0">IF(D$12=0,0,D18/D$12)</f>
        <v>0</v>
      </c>
      <c r="G18" s="19"/>
      <c r="H18" s="19">
        <f>SUM(OSRRefH22x_0)</f>
        <v>13801.532740000001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896.33725999999842</v>
      </c>
      <c r="M18" s="4"/>
      <c r="N18" s="35">
        <f t="shared" ref="N18:N28" si="3">IF(H18=0,0,L18/H18)</f>
        <v>6.4944762069955309E-2</v>
      </c>
      <c r="O18" s="10"/>
      <c r="P18" s="19">
        <f>SUM(OSRRefP22x_0)</f>
        <v>80153.219999999987</v>
      </c>
      <c r="Q18" s="19"/>
      <c r="R18" s="35">
        <f t="shared" ref="R18:R28" si="4">IF(P$12=0,0,P18/P$12)</f>
        <v>0</v>
      </c>
      <c r="S18" s="19"/>
      <c r="T18" s="19">
        <f>SUM(OSRRefT22x_0)</f>
        <v>74418.430070000002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5734.7899299999845</v>
      </c>
      <c r="Y18" s="4"/>
      <c r="Z18" s="35">
        <f t="shared" ref="Z18:Z28" si="7">IF(T18=0,0,X18/T18)</f>
        <v>7.7061420465410049E-2</v>
      </c>
    </row>
    <row r="19" spans="1:26" s="29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6136.31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1844.8772600000002</v>
      </c>
      <c r="M19" s="1"/>
      <c r="N19" s="5">
        <f t="shared" si="3"/>
        <v>0.42989774552542565</v>
      </c>
      <c r="O19" s="14"/>
      <c r="P19" s="1">
        <f>SUM(OSRRefP22_0x_0)</f>
        <v>29616.699999999997</v>
      </c>
      <c r="Q19" s="1"/>
      <c r="R19" s="5">
        <f t="shared" si="4"/>
        <v>0</v>
      </c>
      <c r="S19" s="1"/>
      <c r="T19" s="1">
        <f>SUM(OSRRefT22_0x_0)</f>
        <v>22612.880069999999</v>
      </c>
      <c r="U19" s="1"/>
      <c r="V19" s="5">
        <f t="shared" si="5"/>
        <v>0</v>
      </c>
      <c r="W19" s="1"/>
      <c r="X19" s="1">
        <f t="shared" si="6"/>
        <v>7003.8199299999978</v>
      </c>
      <c r="Y19" s="1"/>
      <c r="Z19" s="5">
        <f t="shared" si="7"/>
        <v>0.30972701877510106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6">
        <v>702.21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16.654260000000022</v>
      </c>
      <c r="M20" s="2"/>
      <c r="N20" s="7">
        <f t="shared" si="3"/>
        <v>2.4293079363612392E-2</v>
      </c>
      <c r="O20" s="11"/>
      <c r="P20" s="6">
        <v>3987.08</v>
      </c>
      <c r="Q20" s="2"/>
      <c r="R20" s="7">
        <f t="shared" si="4"/>
        <v>0</v>
      </c>
      <c r="S20" s="2"/>
      <c r="T20" s="6">
        <v>3770.5565699999997</v>
      </c>
      <c r="U20" s="2"/>
      <c r="V20" s="7">
        <f t="shared" si="5"/>
        <v>0</v>
      </c>
      <c r="W20" s="2"/>
      <c r="X20" s="6">
        <f t="shared" si="6"/>
        <v>216.52343000000019</v>
      </c>
      <c r="Y20" s="2"/>
      <c r="Z20" s="7">
        <f t="shared" si="7"/>
        <v>5.7424792860222278E-2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6">
        <v>688.97</v>
      </c>
      <c r="E21" s="2"/>
      <c r="F21" s="7">
        <f t="shared" si="0"/>
        <v>0</v>
      </c>
      <c r="G21" s="2"/>
      <c r="H21" s="6">
        <v>384.29820000000001</v>
      </c>
      <c r="I21" s="2"/>
      <c r="J21" s="7">
        <f t="shared" si="1"/>
        <v>0</v>
      </c>
      <c r="K21" s="2"/>
      <c r="L21" s="6">
        <f t="shared" si="2"/>
        <v>304.67180000000002</v>
      </c>
      <c r="M21" s="2"/>
      <c r="N21" s="7">
        <f t="shared" si="3"/>
        <v>0.79280048670537617</v>
      </c>
      <c r="O21" s="11"/>
      <c r="P21" s="6">
        <v>2226.41</v>
      </c>
      <c r="Q21" s="2"/>
      <c r="R21" s="7">
        <f t="shared" si="4"/>
        <v>0</v>
      </c>
      <c r="S21" s="2"/>
      <c r="T21" s="6">
        <v>2113.6401000000001</v>
      </c>
      <c r="U21" s="2"/>
      <c r="V21" s="7">
        <f t="shared" si="5"/>
        <v>0</v>
      </c>
      <c r="W21" s="2"/>
      <c r="X21" s="6">
        <f t="shared" si="6"/>
        <v>112.76989999999978</v>
      </c>
      <c r="Y21" s="2"/>
      <c r="Z21" s="7">
        <f t="shared" si="7"/>
        <v>5.3353406760214182E-2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1980</v>
      </c>
      <c r="I22" s="2"/>
      <c r="J22" s="7">
        <f t="shared" si="1"/>
        <v>0</v>
      </c>
      <c r="K22" s="2"/>
      <c r="L22" s="6">
        <f t="shared" si="2"/>
        <v>757.90000000000009</v>
      </c>
      <c r="M22" s="2"/>
      <c r="N22" s="7">
        <f t="shared" si="3"/>
        <v>0.38277777777777783</v>
      </c>
      <c r="O22" s="11"/>
      <c r="P22" s="6">
        <v>13689.5</v>
      </c>
      <c r="Q22" s="2"/>
      <c r="R22" s="7">
        <f t="shared" si="4"/>
        <v>0</v>
      </c>
      <c r="S22" s="2"/>
      <c r="T22" s="6">
        <v>9900</v>
      </c>
      <c r="U22" s="2"/>
      <c r="V22" s="7">
        <f t="shared" si="5"/>
        <v>0</v>
      </c>
      <c r="W22" s="2"/>
      <c r="X22" s="6">
        <f t="shared" si="6"/>
        <v>3789.5</v>
      </c>
      <c r="Y22" s="2"/>
      <c r="Z22" s="7">
        <f t="shared" si="7"/>
        <v>0.38277777777777777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41.76</v>
      </c>
      <c r="E23" s="2"/>
      <c r="F23" s="7">
        <f t="shared" si="0"/>
        <v>0</v>
      </c>
      <c r="G23" s="2"/>
      <c r="H23" s="6">
        <v>23.290800000000001</v>
      </c>
      <c r="I23" s="2"/>
      <c r="J23" s="7">
        <f t="shared" si="1"/>
        <v>0</v>
      </c>
      <c r="K23" s="2"/>
      <c r="L23" s="6">
        <f t="shared" si="2"/>
        <v>18.469199999999997</v>
      </c>
      <c r="M23" s="2"/>
      <c r="N23" s="7">
        <f t="shared" si="3"/>
        <v>0.79298263692101589</v>
      </c>
      <c r="O23" s="11"/>
      <c r="P23" s="6">
        <v>134.91999999999999</v>
      </c>
      <c r="Q23" s="2"/>
      <c r="R23" s="7">
        <f t="shared" si="4"/>
        <v>0</v>
      </c>
      <c r="S23" s="2"/>
      <c r="T23" s="6">
        <v>128.0994</v>
      </c>
      <c r="U23" s="2"/>
      <c r="V23" s="7">
        <f t="shared" si="5"/>
        <v>0</v>
      </c>
      <c r="W23" s="2"/>
      <c r="X23" s="6">
        <f t="shared" si="6"/>
        <v>6.8205999999999847</v>
      </c>
      <c r="Y23" s="2"/>
      <c r="Z23" s="7">
        <f t="shared" si="7"/>
        <v>5.3244589748273487E-2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-77.817999999999984</v>
      </c>
      <c r="M24" s="2"/>
      <c r="N24" s="7">
        <f t="shared" si="3"/>
        <v>-0.10101143839208293</v>
      </c>
      <c r="O24" s="11"/>
      <c r="P24" s="6">
        <v>3809.14</v>
      </c>
      <c r="Q24" s="2"/>
      <c r="R24" s="7">
        <f t="shared" si="4"/>
        <v>0</v>
      </c>
      <c r="S24" s="2"/>
      <c r="T24" s="6">
        <v>4237.134</v>
      </c>
      <c r="U24" s="2"/>
      <c r="V24" s="7">
        <f t="shared" si="5"/>
        <v>0</v>
      </c>
      <c r="W24" s="2"/>
      <c r="X24" s="6">
        <f t="shared" si="6"/>
        <v>-427.99400000000014</v>
      </c>
      <c r="Y24" s="2"/>
      <c r="Z24" s="7">
        <f t="shared" si="7"/>
        <v>-0.10101025834915774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6">
        <v>827.64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558.9</v>
      </c>
      <c r="M26" s="2"/>
      <c r="N26" s="7">
        <f t="shared" si="3"/>
        <v>2.0797052913596783</v>
      </c>
      <c r="O26" s="11"/>
      <c r="P26" s="6">
        <v>3344.72</v>
      </c>
      <c r="Q26" s="2"/>
      <c r="R26" s="7">
        <f t="shared" si="4"/>
        <v>0</v>
      </c>
      <c r="S26" s="2"/>
      <c r="T26" s="6">
        <v>1478.07</v>
      </c>
      <c r="U26" s="2"/>
      <c r="V26" s="7">
        <f t="shared" si="5"/>
        <v>0</v>
      </c>
      <c r="W26" s="2"/>
      <c r="X26" s="6">
        <f t="shared" si="6"/>
        <v>1866.6499999999999</v>
      </c>
      <c r="Y26" s="2"/>
      <c r="Z26" s="7">
        <f t="shared" si="7"/>
        <v>1.2628968858037846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234.1</v>
      </c>
      <c r="M27" s="2"/>
      <c r="N27" s="7">
        <f t="shared" si="3"/>
        <v>1.3066532708193792</v>
      </c>
      <c r="O27" s="11"/>
      <c r="P27" s="6">
        <v>2272.9299999999998</v>
      </c>
      <c r="Q27" s="2"/>
      <c r="R27" s="7">
        <f t="shared" si="4"/>
        <v>0</v>
      </c>
      <c r="S27" s="2"/>
      <c r="T27" s="6">
        <v>985.38</v>
      </c>
      <c r="U27" s="2"/>
      <c r="V27" s="7">
        <f t="shared" si="5"/>
        <v>0</v>
      </c>
      <c r="W27" s="2"/>
      <c r="X27" s="6">
        <f t="shared" si="6"/>
        <v>1287.5499999999997</v>
      </c>
      <c r="Y27" s="2"/>
      <c r="Z27" s="7">
        <f t="shared" si="7"/>
        <v>1.306653270819379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6">
        <v>32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32</v>
      </c>
      <c r="M28" s="2"/>
      <c r="N28" s="7">
        <f t="shared" si="3"/>
        <v>0</v>
      </c>
      <c r="O28" s="11"/>
      <c r="P28" s="6">
        <v>152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152</v>
      </c>
      <c r="Y28" s="2"/>
      <c r="Z28" s="7">
        <f t="shared" si="7"/>
        <v>0</v>
      </c>
    </row>
    <row r="29" spans="1:26" s="29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8511.56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1.4599999999991269</v>
      </c>
      <c r="M29" s="1"/>
      <c r="N29" s="5">
        <f t="shared" ref="N29:N39" si="11">IF(H29=0,0,L29/H29)</f>
        <v>1.7156085122373729E-4</v>
      </c>
      <c r="O29" s="14"/>
      <c r="P29" s="1">
        <f>SUM(OSRRefP22_1x_0)</f>
        <v>45245.67</v>
      </c>
      <c r="Q29" s="1"/>
      <c r="R29" s="5">
        <f t="shared" ref="R29:R39" si="12">IF(P$12=0,0,P29/P$12)</f>
        <v>0</v>
      </c>
      <c r="S29" s="1"/>
      <c r="T29" s="1">
        <f>SUM(OSRRefT22_1x_0)</f>
        <v>46805.55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-1559.8800000000047</v>
      </c>
      <c r="Y29" s="1"/>
      <c r="Z29" s="5">
        <f t="shared" ref="Z29:Z39" si="15">IF(T29=0,0,X29/T29)</f>
        <v>-3.3326817012085203E-2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6">
        <v>8511.56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8511.56</v>
      </c>
      <c r="M30" s="2"/>
      <c r="N30" s="7">
        <f t="shared" si="11"/>
        <v>0</v>
      </c>
      <c r="O30" s="11"/>
      <c r="P30" s="6">
        <v>45245.67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45245.67</v>
      </c>
      <c r="Y30" s="2"/>
      <c r="Z30" s="7">
        <f t="shared" si="15"/>
        <v>0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46805.55</v>
      </c>
      <c r="U31" s="2"/>
      <c r="V31" s="7">
        <f t="shared" si="13"/>
        <v>0</v>
      </c>
      <c r="W31" s="2"/>
      <c r="X31" s="6">
        <f t="shared" si="14"/>
        <v>-46805.55</v>
      </c>
      <c r="Y31" s="2"/>
      <c r="Z31" s="7">
        <f t="shared" si="15"/>
        <v>-1</v>
      </c>
    </row>
    <row r="32" spans="1:26" s="24" customFormat="1" hidden="1" outlineLevel="2" x14ac:dyDescent="0.25">
      <c r="A32" s="28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8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8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5" si="16">IF(D$12=0,0,D40/D$12)</f>
        <v>0</v>
      </c>
      <c r="G40" s="1"/>
      <c r="H40" s="1">
        <f>SUM(OSRRefH22_2x_0)</f>
        <v>0</v>
      </c>
      <c r="I40" s="1"/>
      <c r="J40" s="5">
        <f t="shared" ref="J40:J45" si="17">IF(H$12=0,0,H40/H$12)</f>
        <v>0</v>
      </c>
      <c r="K40" s="1"/>
      <c r="L40" s="1">
        <f t="shared" ref="L40:L45" si="18">+D40-H40</f>
        <v>0</v>
      </c>
      <c r="M40" s="1"/>
      <c r="N40" s="5">
        <f t="shared" ref="N40:N45" si="19">IF(H40=0,0,L40/H40)</f>
        <v>0</v>
      </c>
      <c r="O40" s="14"/>
      <c r="P40" s="1">
        <f>SUM(OSRRefP22_2x_0)</f>
        <v>1.65</v>
      </c>
      <c r="Q40" s="1"/>
      <c r="R40" s="5">
        <f t="shared" ref="R40:R45" si="20">IF(P$12=0,0,P40/P$12)</f>
        <v>0</v>
      </c>
      <c r="S40" s="1"/>
      <c r="T40" s="1">
        <f>SUM(OSRRefT22_2x_0)</f>
        <v>0</v>
      </c>
      <c r="U40" s="1"/>
      <c r="V40" s="5">
        <f t="shared" ref="V40:V45" si="21">IF(T$12=0,0,T40/T$12)</f>
        <v>0</v>
      </c>
      <c r="W40" s="1"/>
      <c r="X40" s="1">
        <f t="shared" ref="X40:X45" si="22">+P40-T40</f>
        <v>1.65</v>
      </c>
      <c r="Y40" s="1"/>
      <c r="Z40" s="5">
        <f t="shared" ref="Z40:Z45" si="23">IF(T40=0,0,X40/T40)</f>
        <v>0</v>
      </c>
    </row>
    <row r="41" spans="1:26" s="24" customFormat="1" hidden="1" outlineLevel="2" x14ac:dyDescent="0.25">
      <c r="A41" s="28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1.65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1.65</v>
      </c>
      <c r="Y41" s="2"/>
      <c r="Z41" s="7">
        <f t="shared" si="23"/>
        <v>0</v>
      </c>
    </row>
    <row r="42" spans="1:26" s="29" customFormat="1" outlineLevel="1" collapsed="1" x14ac:dyDescent="0.25">
      <c r="A42" s="27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400</v>
      </c>
      <c r="I42" s="1"/>
      <c r="J42" s="5">
        <f t="shared" si="17"/>
        <v>0</v>
      </c>
      <c r="K42" s="1"/>
      <c r="L42" s="1">
        <f t="shared" si="18"/>
        <v>-400</v>
      </c>
      <c r="M42" s="1"/>
      <c r="N42" s="5">
        <f t="shared" si="19"/>
        <v>-1</v>
      </c>
      <c r="O42" s="14"/>
      <c r="P42" s="1">
        <f>SUM(OSRRefP22_3x_0)</f>
        <v>4939.2</v>
      </c>
      <c r="Q42" s="1"/>
      <c r="R42" s="5">
        <f t="shared" si="20"/>
        <v>0</v>
      </c>
      <c r="S42" s="1"/>
      <c r="T42" s="1">
        <f>SUM(OSRRefT22_3x_0)</f>
        <v>2000</v>
      </c>
      <c r="U42" s="1"/>
      <c r="V42" s="5">
        <f t="shared" si="21"/>
        <v>0</v>
      </c>
      <c r="W42" s="1"/>
      <c r="X42" s="1">
        <f t="shared" si="22"/>
        <v>2939.2</v>
      </c>
      <c r="Y42" s="1"/>
      <c r="Z42" s="5">
        <f t="shared" si="23"/>
        <v>1.4696</v>
      </c>
    </row>
    <row r="43" spans="1:26" s="24" customFormat="1" hidden="1" outlineLevel="2" x14ac:dyDescent="0.25">
      <c r="A43" s="28"/>
      <c r="B43" s="11" t="str">
        <f>CONCATENATE("          ", "6234", " - ", "EXPENDABLE SUPPLIES &amp; EQUIPMEN")</f>
        <v xml:space="preserve">          6234 - EXPENDABLE SUPPLIES &amp; EQUIPMEN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4" customFormat="1" hidden="1" outlineLevel="2" x14ac:dyDescent="0.25">
      <c r="A44" s="28"/>
      <c r="B44" s="11" t="str">
        <f>CONCATENATE("          ", "6235", " - ", "COVID-19 EXPENSES")</f>
        <v xml:space="preserve">          6235 - COVID-19 EXPENSES</v>
      </c>
      <c r="C44" s="11"/>
      <c r="D44" s="6"/>
      <c r="E44" s="2"/>
      <c r="F44" s="7">
        <f t="shared" si="16"/>
        <v>0</v>
      </c>
      <c r="G44" s="2"/>
      <c r="H44" s="6">
        <v>200</v>
      </c>
      <c r="I44" s="2"/>
      <c r="J44" s="7">
        <f t="shared" si="17"/>
        <v>0</v>
      </c>
      <c r="K44" s="2"/>
      <c r="L44" s="6">
        <f t="shared" si="18"/>
        <v>-200</v>
      </c>
      <c r="M44" s="2"/>
      <c r="N44" s="7">
        <f t="shared" si="19"/>
        <v>-1</v>
      </c>
      <c r="O44" s="11"/>
      <c r="P44" s="6">
        <v>4939.2</v>
      </c>
      <c r="Q44" s="2"/>
      <c r="R44" s="7">
        <f t="shared" si="20"/>
        <v>0</v>
      </c>
      <c r="S44" s="2"/>
      <c r="T44" s="6">
        <v>1000</v>
      </c>
      <c r="U44" s="2"/>
      <c r="V44" s="7">
        <f t="shared" si="21"/>
        <v>0</v>
      </c>
      <c r="W44" s="2"/>
      <c r="X44" s="6">
        <f t="shared" si="22"/>
        <v>3939.2</v>
      </c>
      <c r="Y44" s="2"/>
      <c r="Z44" s="7">
        <f t="shared" si="23"/>
        <v>3.9392</v>
      </c>
    </row>
    <row r="45" spans="1:26" s="24" customFormat="1" hidden="1" outlineLevel="2" x14ac:dyDescent="0.25">
      <c r="A45" s="28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16"/>
        <v>0</v>
      </c>
      <c r="G45" s="2"/>
      <c r="H45" s="6">
        <v>100</v>
      </c>
      <c r="I45" s="2"/>
      <c r="J45" s="7">
        <f t="shared" si="17"/>
        <v>0</v>
      </c>
      <c r="K45" s="2"/>
      <c r="L45" s="6">
        <f t="shared" si="18"/>
        <v>-100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-500</v>
      </c>
      <c r="Y45" s="2"/>
      <c r="Z45" s="7">
        <f t="shared" si="23"/>
        <v>-1</v>
      </c>
    </row>
    <row r="46" spans="1:26" s="29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SUM(OSRRefD22_4x_0)</f>
        <v>50</v>
      </c>
      <c r="E46" s="1"/>
      <c r="F46" s="5">
        <f t="shared" ref="F46:F48" si="24">IF(D$12=0,0,D46/D$12)</f>
        <v>0</v>
      </c>
      <c r="G46" s="1"/>
      <c r="H46" s="1">
        <f>SUM(OSRRefH22_4x_0)</f>
        <v>100</v>
      </c>
      <c r="I46" s="1"/>
      <c r="J46" s="5">
        <f t="shared" ref="J46:J48" si="25">IF(H$12=0,0,H46/H$12)</f>
        <v>0</v>
      </c>
      <c r="K46" s="1"/>
      <c r="L46" s="1">
        <f t="shared" ref="L46:L48" si="26">+D46-H46</f>
        <v>-50</v>
      </c>
      <c r="M46" s="1"/>
      <c r="N46" s="5">
        <f t="shared" ref="N46:N48" si="27">IF(H46=0,0,L46/H46)</f>
        <v>-0.5</v>
      </c>
      <c r="O46" s="14"/>
      <c r="P46" s="1">
        <f>SUM(OSRRefP22_4x_0)</f>
        <v>350</v>
      </c>
      <c r="Q46" s="1"/>
      <c r="R46" s="5">
        <f t="shared" ref="R46:R48" si="28">IF(P$12=0,0,P46/P$12)</f>
        <v>0</v>
      </c>
      <c r="S46" s="1"/>
      <c r="T46" s="1">
        <f>SUM(OSRRefT22_4x_0)</f>
        <v>500</v>
      </c>
      <c r="U46" s="1"/>
      <c r="V46" s="5">
        <f t="shared" ref="V46:V48" si="29">IF(T$12=0,0,T46/T$12)</f>
        <v>0</v>
      </c>
      <c r="W46" s="1"/>
      <c r="X46" s="1">
        <f t="shared" ref="X46:X48" si="30">+P46-T46</f>
        <v>-150</v>
      </c>
      <c r="Y46" s="1"/>
      <c r="Z46" s="5">
        <f t="shared" ref="Z46:Z48" si="31">IF(T46=0,0,X46/T46)</f>
        <v>-0.3</v>
      </c>
    </row>
    <row r="47" spans="1:26" s="24" customFormat="1" hidden="1" outlineLevel="2" x14ac:dyDescent="0.25">
      <c r="A47" s="28"/>
      <c r="B47" s="11" t="str">
        <f>CONCATENATE("          ", "6303", " - ", "DATA PHONE LINES")</f>
        <v xml:space="preserve">          6303 - DATA PHONE LINES</v>
      </c>
      <c r="C47" s="11"/>
      <c r="D47" s="6"/>
      <c r="E47" s="2"/>
      <c r="F47" s="7">
        <f t="shared" si="24"/>
        <v>0</v>
      </c>
      <c r="G47" s="2"/>
      <c r="H47" s="6">
        <v>50</v>
      </c>
      <c r="I47" s="2"/>
      <c r="J47" s="7">
        <f t="shared" si="25"/>
        <v>0</v>
      </c>
      <c r="K47" s="2"/>
      <c r="L47" s="6">
        <f t="shared" si="26"/>
        <v>-50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250</v>
      </c>
      <c r="U47" s="2"/>
      <c r="V47" s="7">
        <f t="shared" si="29"/>
        <v>0</v>
      </c>
      <c r="W47" s="2"/>
      <c r="X47" s="6">
        <f t="shared" si="30"/>
        <v>-250</v>
      </c>
      <c r="Y47" s="2"/>
      <c r="Z47" s="7">
        <f t="shared" si="31"/>
        <v>-1</v>
      </c>
    </row>
    <row r="48" spans="1:26" s="24" customFormat="1" hidden="1" outlineLevel="2" x14ac:dyDescent="0.25">
      <c r="A48" s="28"/>
      <c r="B48" s="11" t="str">
        <f>CONCATENATE("          ", "6309", " - ", "TELEPHONE")</f>
        <v xml:space="preserve">          6309 - TELEPHONE</v>
      </c>
      <c r="C48" s="11"/>
      <c r="D48" s="6">
        <v>50</v>
      </c>
      <c r="E48" s="2"/>
      <c r="F48" s="7">
        <f t="shared" si="24"/>
        <v>0</v>
      </c>
      <c r="G48" s="2"/>
      <c r="H48" s="6">
        <v>50</v>
      </c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>
        <v>350</v>
      </c>
      <c r="Q48" s="2"/>
      <c r="R48" s="7">
        <f t="shared" si="28"/>
        <v>0</v>
      </c>
      <c r="S48" s="2"/>
      <c r="T48" s="6">
        <v>250</v>
      </c>
      <c r="U48" s="2"/>
      <c r="V48" s="7">
        <f t="shared" si="29"/>
        <v>0</v>
      </c>
      <c r="W48" s="2"/>
      <c r="X48" s="6">
        <f t="shared" si="30"/>
        <v>100</v>
      </c>
      <c r="Y48" s="2"/>
      <c r="Z48" s="7">
        <f t="shared" si="31"/>
        <v>0.4</v>
      </c>
    </row>
    <row r="49" spans="1:26" s="29" customFormat="1" outlineLevel="1" collapsed="1" x14ac:dyDescent="0.25">
      <c r="A49" s="27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SUM(OSRRefD22_5x_0)</f>
        <v>0</v>
      </c>
      <c r="E49" s="1"/>
      <c r="F49" s="5">
        <f t="shared" ref="F49:F52" si="32">IF(D$12=0,0,D49/D$12)</f>
        <v>0</v>
      </c>
      <c r="G49" s="1"/>
      <c r="H49" s="1">
        <f>SUM(OSRRefH22_5x_0)</f>
        <v>200</v>
      </c>
      <c r="I49" s="1"/>
      <c r="J49" s="5">
        <f t="shared" ref="J49:J52" si="33">IF(H$12=0,0,H49/H$12)</f>
        <v>0</v>
      </c>
      <c r="K49" s="1"/>
      <c r="L49" s="1">
        <f t="shared" ref="L49:L52" si="34">+D49-H49</f>
        <v>-200</v>
      </c>
      <c r="M49" s="1"/>
      <c r="N49" s="5">
        <f t="shared" ref="N49:N52" si="35">IF(H49=0,0,L49/H49)</f>
        <v>-1</v>
      </c>
      <c r="O49" s="14"/>
      <c r="P49" s="1">
        <f>SUM(OSRRefP22_5x_0)</f>
        <v>0</v>
      </c>
      <c r="Q49" s="1"/>
      <c r="R49" s="5">
        <f t="shared" ref="R49:R52" si="36">IF(P$12=0,0,P49/P$12)</f>
        <v>0</v>
      </c>
      <c r="S49" s="1"/>
      <c r="T49" s="1">
        <f>SUM(OSRRefT22_5x_0)</f>
        <v>1000</v>
      </c>
      <c r="U49" s="1"/>
      <c r="V49" s="5">
        <f t="shared" ref="V49:V52" si="37">IF(T$12=0,0,T49/T$12)</f>
        <v>0</v>
      </c>
      <c r="W49" s="1"/>
      <c r="X49" s="1">
        <f t="shared" ref="X49:X52" si="38">+P49-T49</f>
        <v>-1000</v>
      </c>
      <c r="Y49" s="1"/>
      <c r="Z49" s="5">
        <f t="shared" ref="Z49:Z52" si="39">IF(T49=0,0,X49/T49)</f>
        <v>-1</v>
      </c>
    </row>
    <row r="50" spans="1:26" s="24" customFormat="1" hidden="1" outlineLevel="2" x14ac:dyDescent="0.25">
      <c r="A50" s="28"/>
      <c r="B50" s="11" t="str">
        <f>CONCATENATE("          ", "6376", " - ", "TRAINING")</f>
        <v xml:space="preserve">          6376 - TRAINING</v>
      </c>
      <c r="C50" s="11"/>
      <c r="D50" s="6"/>
      <c r="E50" s="2"/>
      <c r="F50" s="7">
        <f t="shared" si="32"/>
        <v>0</v>
      </c>
      <c r="G50" s="2"/>
      <c r="H50" s="6">
        <v>200</v>
      </c>
      <c r="I50" s="2"/>
      <c r="J50" s="7">
        <f t="shared" si="33"/>
        <v>0</v>
      </c>
      <c r="K50" s="2"/>
      <c r="L50" s="6">
        <f t="shared" si="34"/>
        <v>-200</v>
      </c>
      <c r="M50" s="2"/>
      <c r="N50" s="7">
        <f t="shared" si="35"/>
        <v>-1</v>
      </c>
      <c r="O50" s="11"/>
      <c r="P50" s="6"/>
      <c r="Q50" s="2"/>
      <c r="R50" s="7">
        <f t="shared" si="36"/>
        <v>0</v>
      </c>
      <c r="S50" s="2"/>
      <c r="T50" s="6">
        <v>1000</v>
      </c>
      <c r="U50" s="2"/>
      <c r="V50" s="7">
        <f t="shared" si="37"/>
        <v>0</v>
      </c>
      <c r="W50" s="2"/>
      <c r="X50" s="6">
        <f t="shared" si="38"/>
        <v>-1000</v>
      </c>
      <c r="Y50" s="2"/>
      <c r="Z50" s="7">
        <f t="shared" si="39"/>
        <v>-1</v>
      </c>
    </row>
    <row r="51" spans="1:26" s="29" customFormat="1" outlineLevel="1" collapsed="1" x14ac:dyDescent="0.25">
      <c r="A51" s="27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SUM(OSRRefD22_6x_0)</f>
        <v>0</v>
      </c>
      <c r="E51" s="1"/>
      <c r="F51" s="5">
        <f t="shared" si="32"/>
        <v>0</v>
      </c>
      <c r="G51" s="1"/>
      <c r="H51" s="1">
        <f>SUM(OSRRefH22_6x_0)</f>
        <v>300</v>
      </c>
      <c r="I51" s="1"/>
      <c r="J51" s="5">
        <f t="shared" si="33"/>
        <v>0</v>
      </c>
      <c r="K51" s="1"/>
      <c r="L51" s="1">
        <f t="shared" si="34"/>
        <v>-300</v>
      </c>
      <c r="M51" s="1"/>
      <c r="N51" s="5">
        <f t="shared" si="35"/>
        <v>-1</v>
      </c>
      <c r="O51" s="14"/>
      <c r="P51" s="1">
        <f>SUM(OSRRefP22_6x_0)</f>
        <v>0</v>
      </c>
      <c r="Q51" s="1"/>
      <c r="R51" s="5">
        <f t="shared" si="36"/>
        <v>0</v>
      </c>
      <c r="S51" s="1"/>
      <c r="T51" s="1">
        <f>SUM(OSRRefT22_6x_0)</f>
        <v>1500</v>
      </c>
      <c r="U51" s="1"/>
      <c r="V51" s="5">
        <f t="shared" si="37"/>
        <v>0</v>
      </c>
      <c r="W51" s="1"/>
      <c r="X51" s="1">
        <f t="shared" si="38"/>
        <v>-1500</v>
      </c>
      <c r="Y51" s="1"/>
      <c r="Z51" s="5">
        <f t="shared" si="39"/>
        <v>-1</v>
      </c>
    </row>
    <row r="52" spans="1:26" s="24" customFormat="1" hidden="1" outlineLevel="2" x14ac:dyDescent="0.25">
      <c r="A52" s="28"/>
      <c r="B52" s="11" t="str">
        <f>CONCATENATE("          ", "6292", " - ", "TRAVEL/CONFERENCE")</f>
        <v xml:space="preserve">          6292 - TRAVEL/CONFERENCE</v>
      </c>
      <c r="C52" s="11"/>
      <c r="D52" s="6"/>
      <c r="E52" s="2"/>
      <c r="F52" s="7">
        <f t="shared" si="32"/>
        <v>0</v>
      </c>
      <c r="G52" s="2"/>
      <c r="H52" s="6">
        <v>300</v>
      </c>
      <c r="I52" s="2"/>
      <c r="J52" s="7">
        <f t="shared" si="33"/>
        <v>0</v>
      </c>
      <c r="K52" s="2"/>
      <c r="L52" s="6">
        <f t="shared" si="34"/>
        <v>-300</v>
      </c>
      <c r="M52" s="2"/>
      <c r="N52" s="7">
        <f t="shared" si="35"/>
        <v>-1</v>
      </c>
      <c r="O52" s="11"/>
      <c r="P52" s="6"/>
      <c r="Q52" s="2"/>
      <c r="R52" s="7">
        <f t="shared" si="36"/>
        <v>0</v>
      </c>
      <c r="S52" s="2"/>
      <c r="T52" s="6">
        <v>1500</v>
      </c>
      <c r="U52" s="2"/>
      <c r="V52" s="7">
        <f t="shared" si="37"/>
        <v>0</v>
      </c>
      <c r="W52" s="2"/>
      <c r="X52" s="6">
        <f t="shared" si="38"/>
        <v>-1500</v>
      </c>
      <c r="Y52" s="2"/>
      <c r="Z52" s="7">
        <f t="shared" si="39"/>
        <v>-1</v>
      </c>
    </row>
    <row r="53" spans="1:26" s="62" customFormat="1" x14ac:dyDescent="0.25">
      <c r="A53" s="36"/>
      <c r="B53" s="36"/>
      <c r="C53" s="36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0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3</v>
      </c>
      <c r="C56" s="25"/>
      <c r="D56" s="21">
        <f>+D16-D18+D54</f>
        <v>-14697.869999999999</v>
      </c>
      <c r="E56" s="13"/>
      <c r="F56" s="20">
        <f>IF(D$12=0,0,D56/D$12)</f>
        <v>0</v>
      </c>
      <c r="G56" s="13"/>
      <c r="H56" s="21">
        <f>+H16-H18+H54</f>
        <v>-13801.532740000001</v>
      </c>
      <c r="I56" s="13"/>
      <c r="J56" s="20">
        <f>IF(H$12=0,0,H56/H$12)</f>
        <v>0</v>
      </c>
      <c r="K56" s="16"/>
      <c r="L56" s="21">
        <f>+D56-H56</f>
        <v>-896.33725999999842</v>
      </c>
      <c r="M56" s="16"/>
      <c r="N56" s="20">
        <f>IF(H56=0,0,L56/H56)</f>
        <v>6.4944762069955309E-2</v>
      </c>
      <c r="O56" s="26"/>
      <c r="P56" s="21">
        <f>+P16-P18+P54</f>
        <v>-80153.219999999987</v>
      </c>
      <c r="Q56" s="13"/>
      <c r="R56" s="20">
        <f>IF(P$12=0,0,P56/P$12)</f>
        <v>0</v>
      </c>
      <c r="S56" s="13"/>
      <c r="T56" s="21">
        <f>+T16-T18+T54</f>
        <v>-74418.430070000002</v>
      </c>
      <c r="U56" s="13"/>
      <c r="V56" s="20">
        <f>IF(T$12=0,0,T56/T$12)</f>
        <v>0</v>
      </c>
      <c r="W56" s="16"/>
      <c r="X56" s="21">
        <f>+P56-T56</f>
        <v>-5734.7899299999845</v>
      </c>
      <c r="Y56" s="16"/>
      <c r="Z56" s="20">
        <f>IF(T56=0,0,X56/T56)</f>
        <v>7.7061420465410049E-2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4</v>
      </c>
      <c r="C60" s="25"/>
      <c r="D60" s="31">
        <f>+D56-D58</f>
        <v>-14697.869999999999</v>
      </c>
      <c r="E60" s="13"/>
      <c r="F60" s="34">
        <f>IF(D$12=0,0,D60/D$12)</f>
        <v>0</v>
      </c>
      <c r="G60" s="13"/>
      <c r="H60" s="31">
        <f>+H56-H58</f>
        <v>-13801.532740000001</v>
      </c>
      <c r="I60" s="13"/>
      <c r="J60" s="34">
        <f>IF(H$12=0,0,H60/H$12)</f>
        <v>0</v>
      </c>
      <c r="K60" s="16"/>
      <c r="L60" s="31">
        <f>D60-H60</f>
        <v>-896.33725999999842</v>
      </c>
      <c r="M60" s="16"/>
      <c r="N60" s="34">
        <f>IF(H60=0,0,L60/H60)</f>
        <v>6.4944762069955309E-2</v>
      </c>
      <c r="O60" s="26"/>
      <c r="P60" s="31">
        <f>+P56-P58</f>
        <v>-80153.219999999987</v>
      </c>
      <c r="Q60" s="13"/>
      <c r="R60" s="34">
        <f>IF(P$12=0,0,P60/P$12)</f>
        <v>0</v>
      </c>
      <c r="S60" s="13"/>
      <c r="T60" s="31">
        <f>+T56-T58</f>
        <v>-74418.430070000002</v>
      </c>
      <c r="U60" s="13"/>
      <c r="V60" s="34">
        <f>IF(T$12=0,0,T60/T$12)</f>
        <v>0</v>
      </c>
      <c r="W60" s="16"/>
      <c r="X60" s="31">
        <f>P60-T60</f>
        <v>-5734.7899299999845</v>
      </c>
      <c r="Y60" s="16"/>
      <c r="Z60" s="34">
        <f>IF(T60=0,0,X60/T60)</f>
        <v>7.7061420465410049E-2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5</v>
      </c>
      <c r="C63" s="25"/>
      <c r="D63" s="33">
        <f>SUM(D60:D62)</f>
        <v>-14697.869999999999</v>
      </c>
      <c r="E63" s="13"/>
      <c r="F63" s="30">
        <f>IF(D$12=0,0,D63/D$12)</f>
        <v>0</v>
      </c>
      <c r="G63" s="13"/>
      <c r="H63" s="33">
        <f>SUM(H60:H62)</f>
        <v>-13801.532740000001</v>
      </c>
      <c r="I63" s="13"/>
      <c r="J63" s="30">
        <f>IF(H$12=0,0,H63/H$12)</f>
        <v>0</v>
      </c>
      <c r="K63" s="16"/>
      <c r="L63" s="33">
        <f>+D63-H63</f>
        <v>-896.33725999999842</v>
      </c>
      <c r="M63" s="16"/>
      <c r="N63" s="30">
        <f>IF(H63=0,0,L63/H63)</f>
        <v>6.4944762069955309E-2</v>
      </c>
      <c r="O63" s="26"/>
      <c r="P63" s="33">
        <f>SUM(P60:P62)</f>
        <v>-80153.219999999987</v>
      </c>
      <c r="Q63" s="13"/>
      <c r="R63" s="30">
        <f>IF(P$12=0,0,P63/P$12)</f>
        <v>0</v>
      </c>
      <c r="S63" s="13"/>
      <c r="T63" s="33">
        <f>SUM(T60:T62)</f>
        <v>-74418.430070000002</v>
      </c>
      <c r="U63" s="13"/>
      <c r="V63" s="30">
        <f>IF(T$12=0,0,T63/T$12)</f>
        <v>0</v>
      </c>
      <c r="W63" s="16"/>
      <c r="X63" s="33">
        <f>+P63-T63</f>
        <v>-5734.7899299999845</v>
      </c>
      <c r="Y63" s="16"/>
      <c r="Z63" s="30">
        <f>IF(T63=0,0,X63/T63)</f>
        <v>7.7061420465410049E-2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5">
        <v>44174.680087581015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7" t="s">
        <v>314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63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165425</v>
      </c>
      <c r="I12" s="4"/>
      <c r="J12" s="12"/>
      <c r="K12" s="4"/>
      <c r="L12" s="4">
        <f t="shared" ref="L12:L16" si="0">+D12-H12</f>
        <v>-165425</v>
      </c>
      <c r="M12" s="4"/>
      <c r="N12" s="12">
        <f t="shared" ref="N12:N16" si="1">IF(H12=0,0,L12/H12)</f>
        <v>-1</v>
      </c>
      <c r="O12" s="10"/>
      <c r="P12" s="4">
        <f>SUM(OSRRefP13x_0)</f>
        <v>23802.12</v>
      </c>
      <c r="Q12" s="4"/>
      <c r="R12" s="12"/>
      <c r="S12" s="4"/>
      <c r="T12" s="4">
        <f>SUM(OSRRefT13x_0)</f>
        <v>628615</v>
      </c>
      <c r="U12" s="4"/>
      <c r="V12" s="12"/>
      <c r="W12" s="4"/>
      <c r="X12" s="4">
        <f t="shared" ref="X12:X16" si="2">+P12-T12</f>
        <v>-604812.88</v>
      </c>
      <c r="Y12" s="4"/>
      <c r="Z12" s="12">
        <f t="shared" ref="Z12:Z16" si="3">IF(T12=0,0,X12/T12)</f>
        <v>-0.96213561559937322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165425</v>
      </c>
      <c r="I14" s="2"/>
      <c r="J14" s="22"/>
      <c r="K14" s="2"/>
      <c r="L14" s="2">
        <f t="shared" si="0"/>
        <v>-165425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628615</v>
      </c>
      <c r="U14" s="2"/>
      <c r="V14" s="22"/>
      <c r="W14" s="2"/>
      <c r="X14" s="2">
        <f t="shared" si="2"/>
        <v>-628615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--16096</f>
        <v>16096</v>
      </c>
      <c r="Q15" s="2"/>
      <c r="R15" s="22"/>
      <c r="S15" s="2"/>
      <c r="T15" s="2"/>
      <c r="U15" s="2"/>
      <c r="V15" s="22"/>
      <c r="W15" s="2"/>
      <c r="X15" s="2">
        <f t="shared" si="2"/>
        <v>16096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--7488.47</f>
        <v>7488.47</v>
      </c>
      <c r="Q16" s="2"/>
      <c r="R16" s="22"/>
      <c r="S16" s="2"/>
      <c r="T16" s="2"/>
      <c r="U16" s="2"/>
      <c r="V16" s="22"/>
      <c r="W16" s="2"/>
      <c r="X16" s="2">
        <f t="shared" si="2"/>
        <v>7488.47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41356</v>
      </c>
      <c r="I18" s="4"/>
      <c r="J18" s="12">
        <f t="shared" ref="J18:J21" si="6">IF(H$12=0,0,H18/H$12)</f>
        <v>0.24999848874112135</v>
      </c>
      <c r="K18" s="4"/>
      <c r="L18" s="4">
        <f t="shared" ref="L18:L21" si="7">+D18-H18</f>
        <v>-41356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1.0638934683129067</v>
      </c>
      <c r="S18" s="4"/>
      <c r="T18" s="4">
        <f>SUM(OSRRefT16x_0)</f>
        <v>173365</v>
      </c>
      <c r="U18" s="4"/>
      <c r="V18" s="12">
        <f t="shared" ref="V18:V21" si="10">IF(T$12=0,0,T18/T$12)</f>
        <v>0.27578883736468268</v>
      </c>
      <c r="W18" s="4"/>
      <c r="X18" s="4">
        <f t="shared" ref="X18:X21" si="11">+P18-T18</f>
        <v>-148042.08000000002</v>
      </c>
      <c r="Y18" s="4"/>
      <c r="Z18" s="12">
        <f t="shared" ref="Z18:Z21" si="12">IF(T18=0,0,X18/T18)</f>
        <v>-0.85393291610186606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41356</v>
      </c>
      <c r="I19" s="2"/>
      <c r="J19" s="22">
        <f t="shared" si="6"/>
        <v>0.24999848874112135</v>
      </c>
      <c r="K19" s="2"/>
      <c r="L19" s="2">
        <f t="shared" si="7"/>
        <v>-41356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173365</v>
      </c>
      <c r="U19" s="2"/>
      <c r="V19" s="22">
        <f t="shared" si="10"/>
        <v>0.27578883736468268</v>
      </c>
      <c r="W19" s="2"/>
      <c r="X19" s="2">
        <f t="shared" si="11"/>
        <v>-173365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14410.92</v>
      </c>
      <c r="Q20" s="2"/>
      <c r="R20" s="22">
        <f t="shared" si="9"/>
        <v>0.60544690977106241</v>
      </c>
      <c r="S20" s="2"/>
      <c r="T20" s="2"/>
      <c r="U20" s="2"/>
      <c r="V20" s="22">
        <f t="shared" si="10"/>
        <v>0</v>
      </c>
      <c r="W20" s="2"/>
      <c r="X20" s="2">
        <f t="shared" si="11"/>
        <v>14410.92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0.45844655854184418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0</v>
      </c>
      <c r="E23" s="13"/>
      <c r="F23" s="20">
        <f>IF(D$12=0,0,D23/D$12)</f>
        <v>0</v>
      </c>
      <c r="G23" s="13"/>
      <c r="H23" s="21">
        <f>H12-H18</f>
        <v>124069</v>
      </c>
      <c r="I23" s="13"/>
      <c r="J23" s="20">
        <f>IF(H$12=0,0,H23/H$12)</f>
        <v>0.75000151125887859</v>
      </c>
      <c r="K23" s="16"/>
      <c r="L23" s="21">
        <f>+D23-H23</f>
        <v>-124069</v>
      </c>
      <c r="M23" s="16"/>
      <c r="N23" s="20">
        <f>IF(H23=0,0,L23/H23)</f>
        <v>-1</v>
      </c>
      <c r="O23" s="26"/>
      <c r="P23" s="21">
        <f>P12-P18</f>
        <v>-1520.7999999999993</v>
      </c>
      <c r="Q23" s="13"/>
      <c r="R23" s="20">
        <f>IF(P$12=0,0,P23/P$12)</f>
        <v>-6.3893468312906557E-2</v>
      </c>
      <c r="S23" s="13"/>
      <c r="T23" s="21">
        <f>T12-T18</f>
        <v>455250</v>
      </c>
      <c r="U23" s="13"/>
      <c r="V23" s="20">
        <f>IF(T$12=0,0,T23/T$12)</f>
        <v>0.72421116263531737</v>
      </c>
      <c r="W23" s="16"/>
      <c r="X23" s="21">
        <f>+P23-T23</f>
        <v>-456770.8</v>
      </c>
      <c r="Y23" s="16"/>
      <c r="Z23" s="20">
        <f>IF(T23=0,0,X23/T23)</f>
        <v>-1.0033405820977486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49295.869999999995</v>
      </c>
      <c r="E25" s="19"/>
      <c r="F25" s="35">
        <f t="shared" ref="F25:F36" si="13">IF(D$12=0,0,D25/D$12)</f>
        <v>0</v>
      </c>
      <c r="G25" s="19"/>
      <c r="H25" s="19">
        <f>SUM(OSRRefH22x_0)</f>
        <v>129201.76273076923</v>
      </c>
      <c r="I25" s="19"/>
      <c r="J25" s="35">
        <f t="shared" ref="J25:J36" si="14">IF(H$12=0,0,H25/H$12)</f>
        <v>0.78102924425430997</v>
      </c>
      <c r="K25" s="4"/>
      <c r="L25" s="19">
        <f t="shared" ref="L25:L36" si="15">+D25-H25</f>
        <v>-79905.892730769236</v>
      </c>
      <c r="M25" s="4"/>
      <c r="N25" s="35">
        <f t="shared" ref="N25:N36" si="16">IF(H25=0,0,L25/H25)</f>
        <v>-0.6184582241132206</v>
      </c>
      <c r="O25" s="10"/>
      <c r="P25" s="19">
        <f>SUM(OSRRefP22x_0)</f>
        <v>270602.15999999997</v>
      </c>
      <c r="Q25" s="19"/>
      <c r="R25" s="35">
        <f t="shared" ref="R25:R36" si="17">IF(P$12=0,0,P25/P$12)</f>
        <v>11.36882597012367</v>
      </c>
      <c r="S25" s="19"/>
      <c r="T25" s="19">
        <f>SUM(OSRRefT22x_0)</f>
        <v>610164.8741392307</v>
      </c>
      <c r="U25" s="19"/>
      <c r="V25" s="35">
        <f t="shared" ref="V25:V36" si="18">IF(T$12=0,0,T25/T$12)</f>
        <v>0.97064956155871351</v>
      </c>
      <c r="W25" s="4"/>
      <c r="X25" s="19">
        <f t="shared" ref="X25:X36" si="19">+P25-T25</f>
        <v>-339562.71413923072</v>
      </c>
      <c r="Y25" s="4"/>
      <c r="Z25" s="35">
        <f t="shared" ref="Z25:Z36" si="20">IF(T25=0,0,X25/T25)</f>
        <v>-0.55650977060627627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21880.16</v>
      </c>
      <c r="E26" s="1"/>
      <c r="F26" s="5">
        <f t="shared" si="13"/>
        <v>0</v>
      </c>
      <c r="G26" s="1"/>
      <c r="H26" s="1">
        <f>SUM(OSRRefH22_0x_0)</f>
        <v>30663.141192307739</v>
      </c>
      <c r="I26" s="1"/>
      <c r="J26" s="5">
        <f t="shared" si="14"/>
        <v>0.18535977749619306</v>
      </c>
      <c r="K26" s="1"/>
      <c r="L26" s="1">
        <f t="shared" si="15"/>
        <v>-8782.9811923077395</v>
      </c>
      <c r="M26" s="1"/>
      <c r="N26" s="5">
        <f t="shared" si="16"/>
        <v>-0.28643448944855882</v>
      </c>
      <c r="O26" s="14"/>
      <c r="P26" s="1">
        <f>SUM(OSRRefP22_0x_0)</f>
        <v>105569.42</v>
      </c>
      <c r="Q26" s="1"/>
      <c r="R26" s="5">
        <f t="shared" si="17"/>
        <v>4.4352948392832232</v>
      </c>
      <c r="S26" s="1"/>
      <c r="T26" s="1">
        <f>SUM(OSRRefT22_0x_0)</f>
        <v>160018.95567769246</v>
      </c>
      <c r="U26" s="1"/>
      <c r="V26" s="5">
        <f t="shared" si="18"/>
        <v>0.25455796581006251</v>
      </c>
      <c r="W26" s="1"/>
      <c r="X26" s="1">
        <f t="shared" si="19"/>
        <v>-54449.53567769246</v>
      </c>
      <c r="Y26" s="1"/>
      <c r="Z26" s="5">
        <f t="shared" si="20"/>
        <v>-0.34026928526745182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1886.12</v>
      </c>
      <c r="E27" s="2"/>
      <c r="F27" s="7">
        <f t="shared" si="13"/>
        <v>0</v>
      </c>
      <c r="G27" s="2"/>
      <c r="H27" s="6">
        <v>3540.6898846153804</v>
      </c>
      <c r="I27" s="2"/>
      <c r="J27" s="7">
        <f t="shared" si="14"/>
        <v>2.1403596098627055E-2</v>
      </c>
      <c r="K27" s="2"/>
      <c r="L27" s="6">
        <f t="shared" si="15"/>
        <v>-1654.5698846153805</v>
      </c>
      <c r="M27" s="2"/>
      <c r="N27" s="7">
        <f t="shared" si="16"/>
        <v>-0.46730155380301369</v>
      </c>
      <c r="O27" s="11"/>
      <c r="P27" s="6">
        <v>10801.68</v>
      </c>
      <c r="Q27" s="2"/>
      <c r="R27" s="7">
        <f t="shared" si="17"/>
        <v>0.45381167727916677</v>
      </c>
      <c r="S27" s="2"/>
      <c r="T27" s="6">
        <v>17997.0714853846</v>
      </c>
      <c r="U27" s="2"/>
      <c r="V27" s="7">
        <f t="shared" si="18"/>
        <v>2.8629720075697525E-2</v>
      </c>
      <c r="W27" s="2"/>
      <c r="X27" s="6">
        <f t="shared" si="19"/>
        <v>-7195.3914853845999</v>
      </c>
      <c r="Y27" s="2"/>
      <c r="Z27" s="7">
        <f t="shared" si="20"/>
        <v>-0.39980901844102629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1717.48</v>
      </c>
      <c r="E28" s="2"/>
      <c r="F28" s="7">
        <f t="shared" si="13"/>
        <v>0</v>
      </c>
      <c r="G28" s="2"/>
      <c r="H28" s="6">
        <v>2465.2649999999999</v>
      </c>
      <c r="I28" s="2"/>
      <c r="J28" s="7">
        <f t="shared" si="14"/>
        <v>1.4902614477860057E-2</v>
      </c>
      <c r="K28" s="2"/>
      <c r="L28" s="6">
        <f t="shared" si="15"/>
        <v>-747.78499999999985</v>
      </c>
      <c r="M28" s="2"/>
      <c r="N28" s="7">
        <f t="shared" si="16"/>
        <v>-0.30332844542067483</v>
      </c>
      <c r="O28" s="11"/>
      <c r="P28" s="6">
        <v>6091.67</v>
      </c>
      <c r="Q28" s="2"/>
      <c r="R28" s="7">
        <f t="shared" si="17"/>
        <v>0.25592972390694613</v>
      </c>
      <c r="S28" s="2"/>
      <c r="T28" s="6">
        <v>11680.1091</v>
      </c>
      <c r="U28" s="2"/>
      <c r="V28" s="7">
        <f t="shared" si="18"/>
        <v>1.8580703769397803E-2</v>
      </c>
      <c r="W28" s="2"/>
      <c r="X28" s="6">
        <f t="shared" si="19"/>
        <v>-5588.4390999999996</v>
      </c>
      <c r="Y28" s="2"/>
      <c r="Z28" s="7">
        <f t="shared" si="20"/>
        <v>-0.47845778255615778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12526.51</v>
      </c>
      <c r="E29" s="2"/>
      <c r="F29" s="7">
        <f t="shared" si="13"/>
        <v>0</v>
      </c>
      <c r="G29" s="2"/>
      <c r="H29" s="6">
        <v>18733.8461538462</v>
      </c>
      <c r="I29" s="2"/>
      <c r="J29" s="7">
        <f t="shared" si="14"/>
        <v>0.11324676532474656</v>
      </c>
      <c r="K29" s="2"/>
      <c r="L29" s="6">
        <f t="shared" si="15"/>
        <v>-6207.3361538461995</v>
      </c>
      <c r="M29" s="2"/>
      <c r="N29" s="7">
        <f t="shared" si="16"/>
        <v>-0.3313433932824193</v>
      </c>
      <c r="O29" s="11"/>
      <c r="P29" s="6">
        <v>59932.62</v>
      </c>
      <c r="Q29" s="2"/>
      <c r="R29" s="7">
        <f t="shared" si="17"/>
        <v>2.5179530226719304</v>
      </c>
      <c r="S29" s="2"/>
      <c r="T29" s="6">
        <v>100066.153846154</v>
      </c>
      <c r="U29" s="2"/>
      <c r="V29" s="7">
        <f t="shared" si="18"/>
        <v>0.15918511942310318</v>
      </c>
      <c r="W29" s="2"/>
      <c r="X29" s="6">
        <f t="shared" si="19"/>
        <v>-40133.533846154001</v>
      </c>
      <c r="Y29" s="2"/>
      <c r="Z29" s="7">
        <f t="shared" si="20"/>
        <v>-0.40107001522070107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104.09</v>
      </c>
      <c r="E30" s="2"/>
      <c r="F30" s="7">
        <f t="shared" si="13"/>
        <v>0</v>
      </c>
      <c r="G30" s="2"/>
      <c r="H30" s="6">
        <v>149.41</v>
      </c>
      <c r="I30" s="2"/>
      <c r="J30" s="7">
        <f t="shared" si="14"/>
        <v>9.0318875623394284E-4</v>
      </c>
      <c r="K30" s="2"/>
      <c r="L30" s="6">
        <f t="shared" si="15"/>
        <v>-45.319999999999993</v>
      </c>
      <c r="M30" s="2"/>
      <c r="N30" s="7">
        <f t="shared" si="16"/>
        <v>-0.3033264172411485</v>
      </c>
      <c r="O30" s="11"/>
      <c r="P30" s="6">
        <v>369.19</v>
      </c>
      <c r="Q30" s="2"/>
      <c r="R30" s="7">
        <f t="shared" si="17"/>
        <v>1.5510803239375317E-2</v>
      </c>
      <c r="S30" s="2"/>
      <c r="T30" s="6">
        <v>707.8854</v>
      </c>
      <c r="U30" s="2"/>
      <c r="V30" s="7">
        <f t="shared" si="18"/>
        <v>1.1261032587513819E-3</v>
      </c>
      <c r="W30" s="2"/>
      <c r="X30" s="6">
        <f t="shared" si="19"/>
        <v>-338.69540000000001</v>
      </c>
      <c r="Y30" s="2"/>
      <c r="Z30" s="7">
        <f t="shared" si="20"/>
        <v>-0.47846077910351026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1193.45</v>
      </c>
      <c r="E31" s="2"/>
      <c r="F31" s="7">
        <f t="shared" si="13"/>
        <v>0</v>
      </c>
      <c r="G31" s="2"/>
      <c r="H31" s="6">
        <v>1246.0870769230798</v>
      </c>
      <c r="I31" s="2"/>
      <c r="J31" s="7">
        <f t="shared" si="14"/>
        <v>7.5326406342637441E-3</v>
      </c>
      <c r="K31" s="2"/>
      <c r="L31" s="6">
        <f t="shared" si="15"/>
        <v>-52.637076923079803</v>
      </c>
      <c r="M31" s="2"/>
      <c r="N31" s="7">
        <f t="shared" si="16"/>
        <v>-4.2241892960686769E-2</v>
      </c>
      <c r="O31" s="11"/>
      <c r="P31" s="6">
        <v>5468.62</v>
      </c>
      <c r="Q31" s="2"/>
      <c r="R31" s="7">
        <f t="shared" si="17"/>
        <v>0.22975348414342925</v>
      </c>
      <c r="S31" s="2"/>
      <c r="T31" s="6">
        <v>6853.4789230769402</v>
      </c>
      <c r="U31" s="2"/>
      <c r="V31" s="7">
        <f t="shared" si="18"/>
        <v>1.0902506181171209E-2</v>
      </c>
      <c r="W31" s="2"/>
      <c r="X31" s="6">
        <f t="shared" si="19"/>
        <v>-1384.8589230769403</v>
      </c>
      <c r="Y31" s="2"/>
      <c r="Z31" s="7">
        <f t="shared" si="20"/>
        <v>-0.20206656190535033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6">
        <v>381.16</v>
      </c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381.16</v>
      </c>
      <c r="M33" s="2"/>
      <c r="N33" s="7">
        <f t="shared" si="16"/>
        <v>0</v>
      </c>
      <c r="O33" s="11"/>
      <c r="P33" s="6">
        <v>2014.37</v>
      </c>
      <c r="Q33" s="2"/>
      <c r="R33" s="7">
        <f t="shared" si="17"/>
        <v>8.4629856500177292E-2</v>
      </c>
      <c r="S33" s="2"/>
      <c r="T33" s="6"/>
      <c r="U33" s="2"/>
      <c r="V33" s="7">
        <f t="shared" si="18"/>
        <v>0</v>
      </c>
      <c r="W33" s="2"/>
      <c r="X33" s="6">
        <f t="shared" si="19"/>
        <v>2014.37</v>
      </c>
      <c r="Y33" s="2"/>
      <c r="Z33" s="7">
        <f t="shared" si="20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>
        <v>1900.86</v>
      </c>
      <c r="E34" s="2"/>
      <c r="F34" s="7">
        <f t="shared" si="13"/>
        <v>0</v>
      </c>
      <c r="G34" s="2"/>
      <c r="H34" s="6">
        <v>1260.2815384615399</v>
      </c>
      <c r="I34" s="2"/>
      <c r="J34" s="7">
        <f t="shared" si="14"/>
        <v>7.6184466583741261E-3</v>
      </c>
      <c r="K34" s="2"/>
      <c r="L34" s="6">
        <f t="shared" si="15"/>
        <v>640.57846153846003</v>
      </c>
      <c r="M34" s="2"/>
      <c r="N34" s="7">
        <f t="shared" si="16"/>
        <v>0.5082820322199052</v>
      </c>
      <c r="O34" s="11"/>
      <c r="P34" s="6">
        <v>10084.629999999999</v>
      </c>
      <c r="Q34" s="2"/>
      <c r="R34" s="7">
        <f t="shared" si="17"/>
        <v>0.42368620946369484</v>
      </c>
      <c r="S34" s="2"/>
      <c r="T34" s="6">
        <v>6931.5484615384594</v>
      </c>
      <c r="U34" s="2"/>
      <c r="V34" s="7">
        <f t="shared" si="18"/>
        <v>1.1026699110804641E-2</v>
      </c>
      <c r="W34" s="2"/>
      <c r="X34" s="6">
        <f t="shared" si="19"/>
        <v>3153.0815384615398</v>
      </c>
      <c r="Y34" s="2"/>
      <c r="Z34" s="7">
        <f t="shared" si="20"/>
        <v>0.45488847924201231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>
        <v>1214.78</v>
      </c>
      <c r="E35" s="2"/>
      <c r="F35" s="7">
        <f t="shared" si="13"/>
        <v>0</v>
      </c>
      <c r="G35" s="2"/>
      <c r="H35" s="6">
        <v>1517.5615384615398</v>
      </c>
      <c r="I35" s="2"/>
      <c r="J35" s="7">
        <f t="shared" si="14"/>
        <v>9.1737133955662065E-3</v>
      </c>
      <c r="K35" s="2"/>
      <c r="L35" s="6">
        <f t="shared" si="15"/>
        <v>-302.78153846153987</v>
      </c>
      <c r="M35" s="2"/>
      <c r="N35" s="7">
        <f t="shared" si="16"/>
        <v>-0.19951845825540035</v>
      </c>
      <c r="O35" s="11"/>
      <c r="P35" s="6">
        <v>6545.13</v>
      </c>
      <c r="Q35" s="2"/>
      <c r="R35" s="7">
        <f t="shared" si="17"/>
        <v>0.27498096808183475</v>
      </c>
      <c r="S35" s="2"/>
      <c r="T35" s="6">
        <v>7032.7084615384592</v>
      </c>
      <c r="U35" s="2"/>
      <c r="V35" s="7">
        <f t="shared" si="18"/>
        <v>1.1187624319398137E-2</v>
      </c>
      <c r="W35" s="2"/>
      <c r="X35" s="6">
        <f t="shared" si="19"/>
        <v>-487.57846153845912</v>
      </c>
      <c r="Y35" s="2"/>
      <c r="Z35" s="7">
        <f t="shared" si="20"/>
        <v>-6.933011146487901E-2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6">
        <v>955.71</v>
      </c>
      <c r="E36" s="2"/>
      <c r="F36" s="7">
        <f t="shared" si="13"/>
        <v>0</v>
      </c>
      <c r="G36" s="2"/>
      <c r="H36" s="6">
        <v>1750</v>
      </c>
      <c r="I36" s="2"/>
      <c r="J36" s="7">
        <f t="shared" si="14"/>
        <v>1.0578812150521383E-2</v>
      </c>
      <c r="K36" s="2"/>
      <c r="L36" s="6">
        <f t="shared" si="15"/>
        <v>-794.29</v>
      </c>
      <c r="M36" s="2"/>
      <c r="N36" s="7">
        <f t="shared" si="16"/>
        <v>-0.45388000000000001</v>
      </c>
      <c r="O36" s="11"/>
      <c r="P36" s="6">
        <v>4261.51</v>
      </c>
      <c r="Q36" s="2"/>
      <c r="R36" s="7">
        <f t="shared" si="17"/>
        <v>0.17903909399666923</v>
      </c>
      <c r="S36" s="2"/>
      <c r="T36" s="6">
        <v>8750</v>
      </c>
      <c r="U36" s="2"/>
      <c r="V36" s="7">
        <f t="shared" si="18"/>
        <v>1.3919489671738663E-2</v>
      </c>
      <c r="W36" s="2"/>
      <c r="X36" s="6">
        <f t="shared" si="19"/>
        <v>-4488.49</v>
      </c>
      <c r="Y36" s="2"/>
      <c r="Z36" s="7">
        <f t="shared" si="20"/>
        <v>-0.51297028571428571</v>
      </c>
    </row>
    <row r="37" spans="1:26" s="29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22335.09</v>
      </c>
      <c r="E37" s="1"/>
      <c r="F37" s="5">
        <f t="shared" ref="F37:F47" si="21">IF(D$12=0,0,D37/D$12)</f>
        <v>0</v>
      </c>
      <c r="G37" s="1"/>
      <c r="H37" s="1">
        <f>SUM(OSRRefH22_1x_0)</f>
        <v>55357.621538461499</v>
      </c>
      <c r="I37" s="1"/>
      <c r="J37" s="5">
        <f t="shared" ref="J37:J47" si="22">IF(H$12=0,0,H37/H$12)</f>
        <v>0.33463878820288046</v>
      </c>
      <c r="K37" s="1"/>
      <c r="L37" s="1">
        <f t="shared" ref="L37:L47" si="23">+D37-H37</f>
        <v>-33022.531538461495</v>
      </c>
      <c r="M37" s="1"/>
      <c r="N37" s="5">
        <f t="shared" ref="N37:N47" si="24">IF(H37=0,0,L37/H37)</f>
        <v>-0.5965308953080295</v>
      </c>
      <c r="O37" s="14"/>
      <c r="P37" s="1">
        <f>SUM(OSRRefP22_1x_0)</f>
        <v>117121.55</v>
      </c>
      <c r="Q37" s="1"/>
      <c r="R37" s="5">
        <f t="shared" ref="R37:R47" si="25">IF(P$12=0,0,P37/P$12)</f>
        <v>4.9206352207282382</v>
      </c>
      <c r="S37" s="1"/>
      <c r="T37" s="1">
        <f>SUM(OSRRefT22_1x_0)</f>
        <v>260670.9184615383</v>
      </c>
      <c r="U37" s="1"/>
      <c r="V37" s="5">
        <f t="shared" ref="V37:V47" si="26">IF(T$12=0,0,T37/T$12)</f>
        <v>0.41467498939977299</v>
      </c>
      <c r="W37" s="1"/>
      <c r="X37" s="1">
        <f t="shared" ref="X37:X47" si="27">+P37-T37</f>
        <v>-143549.36846153828</v>
      </c>
      <c r="Y37" s="1"/>
      <c r="Z37" s="5">
        <f t="shared" ref="Z37:Z47" si="28">IF(T37=0,0,X37/T37)</f>
        <v>-0.55069191956186259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8392.92</v>
      </c>
      <c r="E39" s="2"/>
      <c r="F39" s="7">
        <f t="shared" si="21"/>
        <v>0</v>
      </c>
      <c r="G39" s="2"/>
      <c r="H39" s="6">
        <v>13620.021538461498</v>
      </c>
      <c r="I39" s="2"/>
      <c r="J39" s="7">
        <f t="shared" si="22"/>
        <v>8.2333513909393974E-2</v>
      </c>
      <c r="K39" s="2"/>
      <c r="L39" s="6">
        <f t="shared" si="23"/>
        <v>-5227.1015384614984</v>
      </c>
      <c r="M39" s="2"/>
      <c r="N39" s="7">
        <f t="shared" si="24"/>
        <v>-0.38378071016266141</v>
      </c>
      <c r="O39" s="11"/>
      <c r="P39" s="6">
        <v>48465.81</v>
      </c>
      <c r="Q39" s="2"/>
      <c r="R39" s="7">
        <f t="shared" si="25"/>
        <v>2.0361971958800309</v>
      </c>
      <c r="S39" s="2"/>
      <c r="T39" s="6">
        <v>74910.11846153831</v>
      </c>
      <c r="U39" s="2"/>
      <c r="V39" s="7">
        <f t="shared" si="26"/>
        <v>0.11916692802675455</v>
      </c>
      <c r="W39" s="2"/>
      <c r="X39" s="6">
        <f t="shared" si="27"/>
        <v>-26444.308461538312</v>
      </c>
      <c r="Y39" s="2"/>
      <c r="Z39" s="7">
        <f t="shared" si="28"/>
        <v>-0.35301383851256118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6">
        <v>13942.17</v>
      </c>
      <c r="E41" s="2"/>
      <c r="F41" s="7">
        <f t="shared" si="21"/>
        <v>0</v>
      </c>
      <c r="G41" s="2"/>
      <c r="H41" s="6">
        <v>30537.599999999999</v>
      </c>
      <c r="I41" s="2"/>
      <c r="J41" s="7">
        <f t="shared" si="22"/>
        <v>0.18460087653014962</v>
      </c>
      <c r="K41" s="2"/>
      <c r="L41" s="6">
        <f t="shared" si="23"/>
        <v>-16595.43</v>
      </c>
      <c r="M41" s="2"/>
      <c r="N41" s="7">
        <f t="shared" si="24"/>
        <v>-0.54344251021691292</v>
      </c>
      <c r="O41" s="11"/>
      <c r="P41" s="6">
        <v>68655.740000000005</v>
      </c>
      <c r="Q41" s="2"/>
      <c r="R41" s="7">
        <f t="shared" si="25"/>
        <v>2.8844380248482073</v>
      </c>
      <c r="S41" s="2"/>
      <c r="T41" s="6">
        <v>148660.79999999999</v>
      </c>
      <c r="U41" s="2"/>
      <c r="V41" s="7">
        <f t="shared" si="26"/>
        <v>0.2364894251648465</v>
      </c>
      <c r="W41" s="2"/>
      <c r="X41" s="6">
        <f t="shared" si="27"/>
        <v>-80005.059999999983</v>
      </c>
      <c r="Y41" s="2"/>
      <c r="Z41" s="7">
        <f t="shared" si="28"/>
        <v>-0.53817186507808368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0</v>
      </c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11200</v>
      </c>
      <c r="I45" s="2"/>
      <c r="J45" s="7">
        <f t="shared" si="22"/>
        <v>6.7704397763336865E-2</v>
      </c>
      <c r="K45" s="2"/>
      <c r="L45" s="6">
        <f t="shared" si="23"/>
        <v>-11200</v>
      </c>
      <c r="M45" s="2"/>
      <c r="N45" s="7">
        <f t="shared" si="24"/>
        <v>-1</v>
      </c>
      <c r="O45" s="11"/>
      <c r="P45" s="6"/>
      <c r="Q45" s="2"/>
      <c r="R45" s="7">
        <f t="shared" si="25"/>
        <v>0</v>
      </c>
      <c r="S45" s="2"/>
      <c r="T45" s="6">
        <v>37100</v>
      </c>
      <c r="U45" s="2"/>
      <c r="V45" s="7">
        <f t="shared" si="26"/>
        <v>5.901863620817193E-2</v>
      </c>
      <c r="W45" s="2"/>
      <c r="X45" s="6">
        <f t="shared" si="27"/>
        <v>-37100</v>
      </c>
      <c r="Y45" s="2"/>
      <c r="Z45" s="7">
        <f t="shared" si="28"/>
        <v>-1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9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9">IF(D$12=0,0,D48/D$12)</f>
        <v>0</v>
      </c>
      <c r="G48" s="1"/>
      <c r="H48" s="1">
        <f>SUM(OSRRefH22_2x_0)</f>
        <v>500</v>
      </c>
      <c r="I48" s="1"/>
      <c r="J48" s="5">
        <f t="shared" ref="J48:J68" si="30">IF(H$12=0,0,H48/H$12)</f>
        <v>3.022517757291824E-3</v>
      </c>
      <c r="K48" s="1"/>
      <c r="L48" s="1">
        <f t="shared" ref="L48:L68" si="31">+D48-H48</f>
        <v>-500</v>
      </c>
      <c r="M48" s="1"/>
      <c r="N48" s="5">
        <f t="shared" ref="N48:N68" si="32">IF(H48=0,0,L48/H48)</f>
        <v>-1</v>
      </c>
      <c r="O48" s="14"/>
      <c r="P48" s="1">
        <f>SUM(OSRRefP22_2x_0)</f>
        <v>204.75</v>
      </c>
      <c r="Q48" s="1"/>
      <c r="R48" s="5">
        <f t="shared" ref="R48:R68" si="33">IF(P$12=0,0,P48/P$12)</f>
        <v>8.6021749323169534E-3</v>
      </c>
      <c r="S48" s="1"/>
      <c r="T48" s="1">
        <f>SUM(OSRRefT22_2x_0)</f>
        <v>2500</v>
      </c>
      <c r="U48" s="1"/>
      <c r="V48" s="5">
        <f t="shared" ref="V48:V68" si="34">IF(T$12=0,0,T48/T$12)</f>
        <v>3.97699704906819E-3</v>
      </c>
      <c r="W48" s="1"/>
      <c r="X48" s="1">
        <f t="shared" ref="X48:X68" si="35">+P48-T48</f>
        <v>-2295.25</v>
      </c>
      <c r="Y48" s="1"/>
      <c r="Z48" s="5">
        <f t="shared" ref="Z48:Z68" si="36">IF(T48=0,0,X48/T48)</f>
        <v>-0.91810000000000003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500</v>
      </c>
      <c r="I49" s="2"/>
      <c r="J49" s="7">
        <f t="shared" si="30"/>
        <v>3.022517757291824E-3</v>
      </c>
      <c r="K49" s="2"/>
      <c r="L49" s="6">
        <f t="shared" si="31"/>
        <v>-500</v>
      </c>
      <c r="M49" s="2"/>
      <c r="N49" s="7">
        <f t="shared" si="32"/>
        <v>-1</v>
      </c>
      <c r="O49" s="11"/>
      <c r="P49" s="6">
        <v>204.75</v>
      </c>
      <c r="Q49" s="2"/>
      <c r="R49" s="7">
        <f t="shared" si="33"/>
        <v>8.6021749323169534E-3</v>
      </c>
      <c r="S49" s="2"/>
      <c r="T49" s="6">
        <v>2500</v>
      </c>
      <c r="U49" s="2"/>
      <c r="V49" s="7">
        <f t="shared" si="34"/>
        <v>3.97699704906819E-3</v>
      </c>
      <c r="W49" s="2"/>
      <c r="X49" s="6">
        <f t="shared" si="35"/>
        <v>-2295.25</v>
      </c>
      <c r="Y49" s="2"/>
      <c r="Z49" s="7">
        <f t="shared" si="36"/>
        <v>-0.91810000000000003</v>
      </c>
    </row>
    <row r="50" spans="1:26" s="29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9.0675532718754724E-5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75</v>
      </c>
      <c r="U50" s="1"/>
      <c r="V50" s="5">
        <f t="shared" si="34"/>
        <v>1.1930991147204569E-4</v>
      </c>
      <c r="W50" s="1"/>
      <c r="X50" s="1">
        <f t="shared" si="35"/>
        <v>-75</v>
      </c>
      <c r="Y50" s="1"/>
      <c r="Z50" s="5">
        <f t="shared" si="36"/>
        <v>-1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15</v>
      </c>
      <c r="I51" s="2"/>
      <c r="J51" s="7">
        <f t="shared" si="30"/>
        <v>9.0675532718754724E-5</v>
      </c>
      <c r="K51" s="2"/>
      <c r="L51" s="6">
        <f t="shared" si="31"/>
        <v>-15</v>
      </c>
      <c r="M51" s="2"/>
      <c r="N51" s="7">
        <f t="shared" si="32"/>
        <v>-1</v>
      </c>
      <c r="O51" s="11"/>
      <c r="P51" s="6"/>
      <c r="Q51" s="2"/>
      <c r="R51" s="7">
        <f t="shared" si="33"/>
        <v>0</v>
      </c>
      <c r="S51" s="2"/>
      <c r="T51" s="6">
        <v>75</v>
      </c>
      <c r="U51" s="2"/>
      <c r="V51" s="7">
        <f t="shared" si="34"/>
        <v>1.1930991147204569E-4</v>
      </c>
      <c r="W51" s="2"/>
      <c r="X51" s="6">
        <f t="shared" si="35"/>
        <v>-75</v>
      </c>
      <c r="Y51" s="2"/>
      <c r="Z51" s="7">
        <f t="shared" si="36"/>
        <v>-1</v>
      </c>
    </row>
    <row r="52" spans="1:26" s="29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1.511258878645912E-3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1250</v>
      </c>
      <c r="U52" s="1"/>
      <c r="V52" s="5">
        <f t="shared" si="34"/>
        <v>1.988498524534095E-3</v>
      </c>
      <c r="W52" s="1"/>
      <c r="X52" s="1">
        <f t="shared" si="35"/>
        <v>-1250</v>
      </c>
      <c r="Y52" s="1"/>
      <c r="Z52" s="5">
        <f t="shared" si="36"/>
        <v>-1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9"/>
        <v>0</v>
      </c>
      <c r="G53" s="2"/>
      <c r="H53" s="6">
        <v>250</v>
      </c>
      <c r="I53" s="2"/>
      <c r="J53" s="7">
        <f t="shared" si="30"/>
        <v>1.511258878645912E-3</v>
      </c>
      <c r="K53" s="2"/>
      <c r="L53" s="6">
        <f t="shared" si="31"/>
        <v>-250</v>
      </c>
      <c r="M53" s="2"/>
      <c r="N53" s="7">
        <f t="shared" si="32"/>
        <v>-1</v>
      </c>
      <c r="O53" s="11"/>
      <c r="P53" s="6"/>
      <c r="Q53" s="2"/>
      <c r="R53" s="7">
        <f t="shared" si="33"/>
        <v>0</v>
      </c>
      <c r="S53" s="2"/>
      <c r="T53" s="6">
        <v>1250</v>
      </c>
      <c r="U53" s="2"/>
      <c r="V53" s="7">
        <f t="shared" si="34"/>
        <v>1.988498524534095E-3</v>
      </c>
      <c r="W53" s="2"/>
      <c r="X53" s="6">
        <f t="shared" si="35"/>
        <v>-1250</v>
      </c>
      <c r="Y53" s="2"/>
      <c r="Z53" s="7">
        <f t="shared" si="36"/>
        <v>-1</v>
      </c>
    </row>
    <row r="54" spans="1:26" s="29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1099.48</v>
      </c>
      <c r="Q54" s="1"/>
      <c r="R54" s="5">
        <f t="shared" si="33"/>
        <v>4.6192524027271524E-2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1099.48</v>
      </c>
      <c r="Y54" s="1"/>
      <c r="Z54" s="5">
        <f t="shared" si="36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272.74</v>
      </c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272.74</v>
      </c>
      <c r="M55" s="2"/>
      <c r="N55" s="7">
        <f t="shared" si="32"/>
        <v>0</v>
      </c>
      <c r="O55" s="11"/>
      <c r="P55" s="6">
        <v>1099.48</v>
      </c>
      <c r="Q55" s="2"/>
      <c r="R55" s="7">
        <f t="shared" si="33"/>
        <v>4.6192524027271524E-2</v>
      </c>
      <c r="S55" s="2"/>
      <c r="T55" s="6"/>
      <c r="U55" s="2"/>
      <c r="V55" s="7">
        <f t="shared" si="34"/>
        <v>0</v>
      </c>
      <c r="W55" s="2"/>
      <c r="X55" s="6">
        <f t="shared" si="35"/>
        <v>1099.48</v>
      </c>
      <c r="Y55" s="2"/>
      <c r="Z55" s="7">
        <f t="shared" si="36"/>
        <v>0</v>
      </c>
    </row>
    <row r="56" spans="1:26" s="29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4.8360284116669185E-2</v>
      </c>
      <c r="K56" s="1"/>
      <c r="L56" s="1">
        <f t="shared" si="31"/>
        <v>-8000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29000</v>
      </c>
      <c r="U56" s="1"/>
      <c r="V56" s="5">
        <f t="shared" si="34"/>
        <v>4.6133165769190999E-2</v>
      </c>
      <c r="W56" s="1"/>
      <c r="X56" s="1">
        <f t="shared" si="35"/>
        <v>-29000</v>
      </c>
      <c r="Y56" s="1"/>
      <c r="Z56" s="5">
        <f t="shared" si="36"/>
        <v>-1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9"/>
        <v>0</v>
      </c>
      <c r="G57" s="2"/>
      <c r="H57" s="6">
        <v>8000</v>
      </c>
      <c r="I57" s="2"/>
      <c r="J57" s="7">
        <f t="shared" si="30"/>
        <v>4.8360284116669185E-2</v>
      </c>
      <c r="K57" s="2"/>
      <c r="L57" s="6">
        <f t="shared" si="31"/>
        <v>-8000</v>
      </c>
      <c r="M57" s="2"/>
      <c r="N57" s="7">
        <f t="shared" si="32"/>
        <v>-1</v>
      </c>
      <c r="O57" s="11"/>
      <c r="P57" s="6"/>
      <c r="Q57" s="2"/>
      <c r="R57" s="7">
        <f t="shared" si="33"/>
        <v>0</v>
      </c>
      <c r="S57" s="2"/>
      <c r="T57" s="6">
        <v>29000</v>
      </c>
      <c r="U57" s="2"/>
      <c r="V57" s="7">
        <f t="shared" si="34"/>
        <v>4.6133165769190999E-2</v>
      </c>
      <c r="W57" s="2"/>
      <c r="X57" s="6">
        <f t="shared" si="35"/>
        <v>-29000</v>
      </c>
      <c r="Y57" s="2"/>
      <c r="Z57" s="7">
        <f t="shared" si="36"/>
        <v>-1</v>
      </c>
    </row>
    <row r="58" spans="1:26" s="29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6.0450355145836481E-4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500</v>
      </c>
      <c r="U58" s="1"/>
      <c r="V58" s="5">
        <f t="shared" si="34"/>
        <v>7.9539940981363791E-4</v>
      </c>
      <c r="W58" s="1"/>
      <c r="X58" s="1">
        <f t="shared" si="35"/>
        <v>-500</v>
      </c>
      <c r="Y58" s="1"/>
      <c r="Z58" s="5">
        <f t="shared" si="36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9"/>
        <v>0</v>
      </c>
      <c r="G59" s="2"/>
      <c r="H59" s="6">
        <v>100</v>
      </c>
      <c r="I59" s="2"/>
      <c r="J59" s="7">
        <f t="shared" si="30"/>
        <v>6.0450355145836481E-4</v>
      </c>
      <c r="K59" s="2"/>
      <c r="L59" s="6">
        <f t="shared" si="31"/>
        <v>-100</v>
      </c>
      <c r="M59" s="2"/>
      <c r="N59" s="7">
        <f t="shared" si="32"/>
        <v>-1</v>
      </c>
      <c r="O59" s="11"/>
      <c r="P59" s="6"/>
      <c r="Q59" s="2"/>
      <c r="R59" s="7">
        <f t="shared" si="33"/>
        <v>0</v>
      </c>
      <c r="S59" s="2"/>
      <c r="T59" s="6">
        <v>500</v>
      </c>
      <c r="U59" s="2"/>
      <c r="V59" s="7">
        <f t="shared" si="34"/>
        <v>7.9539940981363791E-4</v>
      </c>
      <c r="W59" s="2"/>
      <c r="X59" s="6">
        <f t="shared" si="35"/>
        <v>-500</v>
      </c>
      <c r="Y59" s="2"/>
      <c r="Z59" s="7">
        <f t="shared" si="36"/>
        <v>-1</v>
      </c>
    </row>
    <row r="60" spans="1:26" s="29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138.88999999999999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2.4180142058334592E-3</v>
      </c>
      <c r="K60" s="1"/>
      <c r="L60" s="1">
        <f t="shared" si="31"/>
        <v>-261.11</v>
      </c>
      <c r="M60" s="1"/>
      <c r="N60" s="5">
        <f t="shared" si="32"/>
        <v>-0.65277499999999999</v>
      </c>
      <c r="O60" s="14"/>
      <c r="P60" s="1">
        <f>SUM(OSRRefP22_8x_0)</f>
        <v>1110.02</v>
      </c>
      <c r="Q60" s="1"/>
      <c r="R60" s="5">
        <f t="shared" si="33"/>
        <v>4.6635341725863075E-2</v>
      </c>
      <c r="S60" s="1"/>
      <c r="T60" s="1">
        <f>SUM(OSRRefT22_8x_0)</f>
        <v>2000</v>
      </c>
      <c r="U60" s="1"/>
      <c r="V60" s="5">
        <f t="shared" si="34"/>
        <v>3.1815976392545516E-3</v>
      </c>
      <c r="W60" s="1"/>
      <c r="X60" s="1">
        <f t="shared" si="35"/>
        <v>-889.98</v>
      </c>
      <c r="Y60" s="1"/>
      <c r="Z60" s="5">
        <f t="shared" si="36"/>
        <v>-0.44499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6">
        <v>138.88999999999999</v>
      </c>
      <c r="E61" s="2"/>
      <c r="F61" s="7">
        <f t="shared" si="29"/>
        <v>0</v>
      </c>
      <c r="G61" s="2"/>
      <c r="H61" s="6">
        <v>400</v>
      </c>
      <c r="I61" s="2"/>
      <c r="J61" s="7">
        <f t="shared" si="30"/>
        <v>2.4180142058334592E-3</v>
      </c>
      <c r="K61" s="2"/>
      <c r="L61" s="6">
        <f t="shared" si="31"/>
        <v>-261.11</v>
      </c>
      <c r="M61" s="2"/>
      <c r="N61" s="7">
        <f t="shared" si="32"/>
        <v>-0.65277499999999999</v>
      </c>
      <c r="O61" s="11"/>
      <c r="P61" s="6">
        <v>1110.02</v>
      </c>
      <c r="Q61" s="2"/>
      <c r="R61" s="7">
        <f t="shared" si="33"/>
        <v>4.6635341725863075E-2</v>
      </c>
      <c r="S61" s="2"/>
      <c r="T61" s="6">
        <v>2000</v>
      </c>
      <c r="U61" s="2"/>
      <c r="V61" s="7">
        <f t="shared" si="34"/>
        <v>3.1815976392545516E-3</v>
      </c>
      <c r="W61" s="2"/>
      <c r="X61" s="6">
        <f t="shared" si="35"/>
        <v>-889.98</v>
      </c>
      <c r="Y61" s="2"/>
      <c r="Z61" s="7">
        <f t="shared" si="36"/>
        <v>-0.44499</v>
      </c>
    </row>
    <row r="62" spans="1:26" s="29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38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9.0675532718754721E-4</v>
      </c>
      <c r="K62" s="1"/>
      <c r="L62" s="1">
        <f t="shared" si="31"/>
        <v>-112</v>
      </c>
      <c r="M62" s="1"/>
      <c r="N62" s="5">
        <f t="shared" si="32"/>
        <v>-0.7466666666666667</v>
      </c>
      <c r="O62" s="14"/>
      <c r="P62" s="1">
        <f>SUM(OSRRefP22_9x_0)</f>
        <v>3538.2</v>
      </c>
      <c r="Q62" s="1"/>
      <c r="R62" s="5">
        <f t="shared" si="33"/>
        <v>0.14865062439816285</v>
      </c>
      <c r="S62" s="1"/>
      <c r="T62" s="1">
        <f>SUM(OSRRefT22_9x_0)</f>
        <v>2100</v>
      </c>
      <c r="U62" s="1"/>
      <c r="V62" s="5">
        <f t="shared" si="34"/>
        <v>3.3406775212172792E-3</v>
      </c>
      <c r="W62" s="1"/>
      <c r="X62" s="1">
        <f t="shared" si="35"/>
        <v>1438.1999999999998</v>
      </c>
      <c r="Y62" s="1"/>
      <c r="Z62" s="5">
        <f t="shared" si="36"/>
        <v>0.68485714285714272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6">
        <v>38</v>
      </c>
      <c r="E63" s="2"/>
      <c r="F63" s="7">
        <f t="shared" si="29"/>
        <v>0</v>
      </c>
      <c r="G63" s="2"/>
      <c r="H63" s="6">
        <v>150</v>
      </c>
      <c r="I63" s="2"/>
      <c r="J63" s="7">
        <f t="shared" si="30"/>
        <v>9.0675532718754721E-4</v>
      </c>
      <c r="K63" s="2"/>
      <c r="L63" s="6">
        <f t="shared" si="31"/>
        <v>-112</v>
      </c>
      <c r="M63" s="2"/>
      <c r="N63" s="7">
        <f t="shared" si="32"/>
        <v>-0.7466666666666667</v>
      </c>
      <c r="O63" s="11"/>
      <c r="P63" s="6">
        <v>3538.2</v>
      </c>
      <c r="Q63" s="2"/>
      <c r="R63" s="7">
        <f t="shared" si="33"/>
        <v>0.14865062439816285</v>
      </c>
      <c r="S63" s="2"/>
      <c r="T63" s="6">
        <v>2100</v>
      </c>
      <c r="U63" s="2"/>
      <c r="V63" s="7">
        <f t="shared" si="34"/>
        <v>3.3406775212172792E-3</v>
      </c>
      <c r="W63" s="2"/>
      <c r="X63" s="6">
        <f t="shared" si="35"/>
        <v>1438.1999999999998</v>
      </c>
      <c r="Y63" s="2"/>
      <c r="Z63" s="7">
        <f t="shared" si="36"/>
        <v>0.68485714285714272</v>
      </c>
    </row>
    <row r="64" spans="1:26" s="29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-3</v>
      </c>
      <c r="E64" s="1"/>
      <c r="F64" s="5">
        <f t="shared" si="29"/>
        <v>0</v>
      </c>
      <c r="G64" s="1"/>
      <c r="H64" s="1">
        <f>SUM(OSRRefH22_10x_0)</f>
        <v>13234</v>
      </c>
      <c r="I64" s="1"/>
      <c r="J64" s="5">
        <f t="shared" si="30"/>
        <v>0.08</v>
      </c>
      <c r="K64" s="1"/>
      <c r="L64" s="1">
        <f t="shared" si="31"/>
        <v>-13237</v>
      </c>
      <c r="M64" s="1"/>
      <c r="N64" s="5">
        <f t="shared" si="32"/>
        <v>-1.000226688831797</v>
      </c>
      <c r="O64" s="14"/>
      <c r="P64" s="1">
        <f>SUM(OSRRefP22_10x_0)</f>
        <v>1912.17</v>
      </c>
      <c r="Q64" s="1"/>
      <c r="R64" s="5">
        <f t="shared" si="33"/>
        <v>8.0336121320285767E-2</v>
      </c>
      <c r="S64" s="1"/>
      <c r="T64" s="1">
        <f>SUM(OSRRefT22_10x_0)</f>
        <v>50290</v>
      </c>
      <c r="U64" s="1"/>
      <c r="V64" s="5">
        <f t="shared" si="34"/>
        <v>8.0001272639055696E-2</v>
      </c>
      <c r="W64" s="1"/>
      <c r="X64" s="1">
        <f t="shared" si="35"/>
        <v>-48377.83</v>
      </c>
      <c r="Y64" s="1"/>
      <c r="Z64" s="5">
        <f t="shared" si="36"/>
        <v>-0.96197713263074169</v>
      </c>
    </row>
    <row r="65" spans="1:26" s="24" customFormat="1" hidden="1" outlineLevel="2" x14ac:dyDescent="0.25">
      <c r="A65" s="28"/>
      <c r="B65" s="11" t="str">
        <f>CONCATENATE("          ", "6387", " - ", "COMMISSION DUE HOUSING")</f>
        <v xml:space="preserve">          6387 - COMMISSION DUE HOUSING</v>
      </c>
      <c r="C65" s="11"/>
      <c r="D65" s="6">
        <v>-3</v>
      </c>
      <c r="E65" s="2"/>
      <c r="F65" s="7">
        <f t="shared" si="29"/>
        <v>0</v>
      </c>
      <c r="G65" s="2"/>
      <c r="H65" s="6">
        <v>13234</v>
      </c>
      <c r="I65" s="2"/>
      <c r="J65" s="7">
        <f t="shared" si="30"/>
        <v>0.08</v>
      </c>
      <c r="K65" s="2"/>
      <c r="L65" s="6">
        <f t="shared" si="31"/>
        <v>-13237</v>
      </c>
      <c r="M65" s="2"/>
      <c r="N65" s="7">
        <f t="shared" si="32"/>
        <v>-1.000226688831797</v>
      </c>
      <c r="O65" s="11"/>
      <c r="P65" s="6">
        <v>1912.17</v>
      </c>
      <c r="Q65" s="2"/>
      <c r="R65" s="7">
        <f t="shared" si="33"/>
        <v>8.0336121320285767E-2</v>
      </c>
      <c r="S65" s="2"/>
      <c r="T65" s="6">
        <v>50290</v>
      </c>
      <c r="U65" s="2"/>
      <c r="V65" s="7">
        <f t="shared" si="34"/>
        <v>8.0001272639055696E-2</v>
      </c>
      <c r="W65" s="2"/>
      <c r="X65" s="6">
        <f t="shared" si="35"/>
        <v>-48377.83</v>
      </c>
      <c r="Y65" s="2"/>
      <c r="Z65" s="7">
        <f t="shared" si="36"/>
        <v>-0.96197713263074169</v>
      </c>
    </row>
    <row r="66" spans="1:26" s="29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9"/>
        <v>0</v>
      </c>
      <c r="G66" s="1"/>
      <c r="H66" s="1">
        <f>SUM(OSRRefH22_11x_0)</f>
        <v>2000</v>
      </c>
      <c r="I66" s="1"/>
      <c r="J66" s="5">
        <f t="shared" si="30"/>
        <v>1.2090071029167296E-2</v>
      </c>
      <c r="K66" s="1"/>
      <c r="L66" s="1">
        <f t="shared" si="31"/>
        <v>-2000</v>
      </c>
      <c r="M66" s="1"/>
      <c r="N66" s="5">
        <f t="shared" si="32"/>
        <v>-1</v>
      </c>
      <c r="O66" s="14"/>
      <c r="P66" s="1">
        <f>SUM(OSRRefP22_11x_0)</f>
        <v>1157.45</v>
      </c>
      <c r="Q66" s="1"/>
      <c r="R66" s="5">
        <f t="shared" si="33"/>
        <v>4.8628021369525071E-2</v>
      </c>
      <c r="S66" s="1"/>
      <c r="T66" s="1">
        <f>SUM(OSRRefT22_11x_0)</f>
        <v>4600</v>
      </c>
      <c r="U66" s="1"/>
      <c r="V66" s="5">
        <f t="shared" si="34"/>
        <v>7.3176745702854687E-3</v>
      </c>
      <c r="W66" s="1"/>
      <c r="X66" s="1">
        <f t="shared" si="35"/>
        <v>-3442.55</v>
      </c>
      <c r="Y66" s="1"/>
      <c r="Z66" s="5">
        <f t="shared" si="36"/>
        <v>-0.74838043478260874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29"/>
        <v>0</v>
      </c>
      <c r="G67" s="2"/>
      <c r="H67" s="6">
        <v>1800</v>
      </c>
      <c r="I67" s="2"/>
      <c r="J67" s="7">
        <f t="shared" si="30"/>
        <v>1.0881063926250567E-2</v>
      </c>
      <c r="K67" s="2"/>
      <c r="L67" s="6">
        <f t="shared" si="31"/>
        <v>-1800</v>
      </c>
      <c r="M67" s="2"/>
      <c r="N67" s="7">
        <f t="shared" si="32"/>
        <v>-1</v>
      </c>
      <c r="O67" s="11"/>
      <c r="P67" s="6">
        <v>1157.45</v>
      </c>
      <c r="Q67" s="2"/>
      <c r="R67" s="7">
        <f t="shared" si="33"/>
        <v>4.8628021369525071E-2</v>
      </c>
      <c r="S67" s="2"/>
      <c r="T67" s="6">
        <v>3600</v>
      </c>
      <c r="U67" s="2"/>
      <c r="V67" s="7">
        <f t="shared" si="34"/>
        <v>5.7268757506581929E-3</v>
      </c>
      <c r="W67" s="2"/>
      <c r="X67" s="6">
        <f t="shared" si="35"/>
        <v>-2442.5500000000002</v>
      </c>
      <c r="Y67" s="2"/>
      <c r="Z67" s="7">
        <f t="shared" si="36"/>
        <v>-0.67848611111111112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9"/>
        <v>0</v>
      </c>
      <c r="G68" s="2"/>
      <c r="H68" s="6">
        <v>200</v>
      </c>
      <c r="I68" s="2"/>
      <c r="J68" s="7">
        <f t="shared" si="30"/>
        <v>1.2090071029167296E-3</v>
      </c>
      <c r="K68" s="2"/>
      <c r="L68" s="6">
        <f t="shared" si="31"/>
        <v>-200</v>
      </c>
      <c r="M68" s="2"/>
      <c r="N68" s="7">
        <f t="shared" si="32"/>
        <v>-1</v>
      </c>
      <c r="O68" s="11"/>
      <c r="P68" s="6"/>
      <c r="Q68" s="2"/>
      <c r="R68" s="7">
        <f t="shared" si="33"/>
        <v>0</v>
      </c>
      <c r="S68" s="2"/>
      <c r="T68" s="6">
        <v>1000</v>
      </c>
      <c r="U68" s="2"/>
      <c r="V68" s="7">
        <f t="shared" si="34"/>
        <v>1.5907988196272758E-3</v>
      </c>
      <c r="W68" s="2"/>
      <c r="X68" s="6">
        <f t="shared" si="35"/>
        <v>-1000</v>
      </c>
      <c r="Y68" s="2"/>
      <c r="Z68" s="7">
        <f t="shared" si="36"/>
        <v>-1</v>
      </c>
    </row>
    <row r="69" spans="1:26" s="29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4494.99</v>
      </c>
      <c r="E69" s="1"/>
      <c r="F69" s="5">
        <f t="shared" ref="F69:F73" si="37">IF(D$12=0,0,D69/D$12)</f>
        <v>0</v>
      </c>
      <c r="G69" s="1"/>
      <c r="H69" s="1">
        <f>SUM(OSRRefH22_12x_0)</f>
        <v>6607</v>
      </c>
      <c r="I69" s="1"/>
      <c r="J69" s="5">
        <f t="shared" ref="J69:J73" si="38">IF(H$12=0,0,H69/H$12)</f>
        <v>3.9939549644854161E-2</v>
      </c>
      <c r="K69" s="1"/>
      <c r="L69" s="1">
        <f t="shared" ref="L69:L73" si="39">+D69-H69</f>
        <v>-2112.0100000000002</v>
      </c>
      <c r="M69" s="1"/>
      <c r="N69" s="5">
        <f t="shared" ref="N69:N73" si="40">IF(H69=0,0,L69/H69)</f>
        <v>-0.31966247918873925</v>
      </c>
      <c r="O69" s="14"/>
      <c r="P69" s="1">
        <f>SUM(OSRRefP22_12x_0)</f>
        <v>30121.73</v>
      </c>
      <c r="Q69" s="1"/>
      <c r="R69" s="5">
        <f t="shared" ref="R69:R73" si="41">IF(P$12=0,0,P69/P$12)</f>
        <v>1.2655061818022932</v>
      </c>
      <c r="S69" s="1"/>
      <c r="T69" s="1">
        <f>SUM(OSRRefT22_12x_0)</f>
        <v>33035</v>
      </c>
      <c r="U69" s="1"/>
      <c r="V69" s="5">
        <f t="shared" ref="V69:V73" si="42">IF(T$12=0,0,T69/T$12)</f>
        <v>5.2552039006387059E-2</v>
      </c>
      <c r="W69" s="1"/>
      <c r="X69" s="1">
        <f t="shared" ref="X69:X73" si="43">+P69-T69</f>
        <v>-2913.2700000000004</v>
      </c>
      <c r="Y69" s="1"/>
      <c r="Z69" s="5">
        <f t="shared" ref="Z69:Z73" si="44">IF(T69=0,0,X69/T69)</f>
        <v>-8.8187377024368102E-2</v>
      </c>
    </row>
    <row r="70" spans="1:26" s="24" customFormat="1" hidden="1" outlineLevel="2" x14ac:dyDescent="0.25">
      <c r="A70" s="28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130.69999999999999</v>
      </c>
      <c r="E70" s="2"/>
      <c r="F70" s="7">
        <f t="shared" si="37"/>
        <v>0</v>
      </c>
      <c r="G70" s="2"/>
      <c r="H70" s="6">
        <v>450</v>
      </c>
      <c r="I70" s="2"/>
      <c r="J70" s="7">
        <f t="shared" si="38"/>
        <v>2.7202659815626419E-3</v>
      </c>
      <c r="K70" s="2"/>
      <c r="L70" s="6">
        <f t="shared" si="39"/>
        <v>-319.3</v>
      </c>
      <c r="M70" s="2"/>
      <c r="N70" s="7">
        <f t="shared" si="40"/>
        <v>-0.70955555555555561</v>
      </c>
      <c r="O70" s="11"/>
      <c r="P70" s="6">
        <v>965.34</v>
      </c>
      <c r="Q70" s="2"/>
      <c r="R70" s="7">
        <f t="shared" si="41"/>
        <v>4.0556891571002923E-2</v>
      </c>
      <c r="S70" s="2"/>
      <c r="T70" s="6">
        <v>2250</v>
      </c>
      <c r="U70" s="2"/>
      <c r="V70" s="7">
        <f t="shared" si="42"/>
        <v>3.5792973441613708E-3</v>
      </c>
      <c r="W70" s="2"/>
      <c r="X70" s="6">
        <f t="shared" si="43"/>
        <v>-1284.6599999999999</v>
      </c>
      <c r="Y70" s="2"/>
      <c r="Z70" s="7">
        <f t="shared" si="44"/>
        <v>-0.57095999999999991</v>
      </c>
    </row>
    <row r="71" spans="1:26" s="24" customFormat="1" hidden="1" outlineLevel="2" x14ac:dyDescent="0.25">
      <c r="A71" s="28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7"/>
        <v>0</v>
      </c>
      <c r="G71" s="2"/>
      <c r="H71" s="6">
        <v>500</v>
      </c>
      <c r="I71" s="2"/>
      <c r="J71" s="7">
        <f t="shared" si="38"/>
        <v>3.022517757291824E-3</v>
      </c>
      <c r="K71" s="2"/>
      <c r="L71" s="6">
        <f t="shared" si="39"/>
        <v>-500</v>
      </c>
      <c r="M71" s="2"/>
      <c r="N71" s="7">
        <f t="shared" si="40"/>
        <v>-1</v>
      </c>
      <c r="O71" s="11"/>
      <c r="P71" s="6"/>
      <c r="Q71" s="2"/>
      <c r="R71" s="7">
        <f t="shared" si="41"/>
        <v>0</v>
      </c>
      <c r="S71" s="2"/>
      <c r="T71" s="6">
        <v>2500</v>
      </c>
      <c r="U71" s="2"/>
      <c r="V71" s="7">
        <f t="shared" si="42"/>
        <v>3.97699704906819E-3</v>
      </c>
      <c r="W71" s="2"/>
      <c r="X71" s="6">
        <f t="shared" si="43"/>
        <v>-2500</v>
      </c>
      <c r="Y71" s="2"/>
      <c r="Z71" s="7">
        <f t="shared" si="44"/>
        <v>-1</v>
      </c>
    </row>
    <row r="72" spans="1:26" s="24" customFormat="1" hidden="1" outlineLevel="2" x14ac:dyDescent="0.25">
      <c r="A72" s="28"/>
      <c r="B72" s="11" t="str">
        <f>CONCATENATE("          ", "6285", " - ", "JANITORIAL SERVICES")</f>
        <v xml:space="preserve">          6285 - JANITORIAL SERVICES</v>
      </c>
      <c r="C72" s="11"/>
      <c r="D72" s="6">
        <v>4157.05</v>
      </c>
      <c r="E72" s="2"/>
      <c r="F72" s="7">
        <f t="shared" si="37"/>
        <v>0</v>
      </c>
      <c r="G72" s="2"/>
      <c r="H72" s="6">
        <v>4157</v>
      </c>
      <c r="I72" s="2"/>
      <c r="J72" s="7">
        <f t="shared" si="38"/>
        <v>2.5129212634124227E-2</v>
      </c>
      <c r="K72" s="2"/>
      <c r="L72" s="6">
        <f t="shared" si="39"/>
        <v>5.0000000000181899E-2</v>
      </c>
      <c r="M72" s="2"/>
      <c r="N72" s="7">
        <f t="shared" si="40"/>
        <v>1.2027904739038225E-5</v>
      </c>
      <c r="O72" s="11"/>
      <c r="P72" s="6">
        <v>24942.3</v>
      </c>
      <c r="Q72" s="2"/>
      <c r="R72" s="7">
        <f t="shared" si="41"/>
        <v>1.0479024557476393</v>
      </c>
      <c r="S72" s="2"/>
      <c r="T72" s="6">
        <v>20785</v>
      </c>
      <c r="U72" s="2"/>
      <c r="V72" s="7">
        <f t="shared" si="42"/>
        <v>3.3064753465952931E-2</v>
      </c>
      <c r="W72" s="2"/>
      <c r="X72" s="6">
        <f t="shared" si="43"/>
        <v>4157.2999999999993</v>
      </c>
      <c r="Y72" s="2"/>
      <c r="Z72" s="7">
        <f t="shared" si="44"/>
        <v>0.20001443348568676</v>
      </c>
    </row>
    <row r="73" spans="1:26" s="24" customFormat="1" hidden="1" outlineLevel="2" x14ac:dyDescent="0.25">
      <c r="A73" s="28"/>
      <c r="B73" s="11" t="str">
        <f>CONCATENATE("          ", "6286", " - ", "LAUNDRY EXPENSE")</f>
        <v xml:space="preserve">          6286 - LAUNDRY EXPENSE</v>
      </c>
      <c r="C73" s="11"/>
      <c r="D73" s="6">
        <v>207.24</v>
      </c>
      <c r="E73" s="2"/>
      <c r="F73" s="7">
        <f t="shared" si="37"/>
        <v>0</v>
      </c>
      <c r="G73" s="2"/>
      <c r="H73" s="6">
        <v>1500</v>
      </c>
      <c r="I73" s="2"/>
      <c r="J73" s="7">
        <f t="shared" si="38"/>
        <v>9.0675532718754726E-3</v>
      </c>
      <c r="K73" s="2"/>
      <c r="L73" s="6">
        <f t="shared" si="39"/>
        <v>-1292.76</v>
      </c>
      <c r="M73" s="2"/>
      <c r="N73" s="7">
        <f t="shared" si="40"/>
        <v>-0.86183999999999994</v>
      </c>
      <c r="O73" s="11"/>
      <c r="P73" s="6">
        <v>4214.09</v>
      </c>
      <c r="Q73" s="2"/>
      <c r="R73" s="7">
        <f t="shared" si="41"/>
        <v>0.17704683448365105</v>
      </c>
      <c r="S73" s="2"/>
      <c r="T73" s="6">
        <v>7500</v>
      </c>
      <c r="U73" s="2"/>
      <c r="V73" s="7">
        <f t="shared" si="42"/>
        <v>1.1930991147204568E-2</v>
      </c>
      <c r="W73" s="2"/>
      <c r="X73" s="6">
        <f t="shared" si="43"/>
        <v>-3285.91</v>
      </c>
      <c r="Y73" s="2"/>
      <c r="Z73" s="7">
        <f t="shared" si="44"/>
        <v>-0.43812133333333331</v>
      </c>
    </row>
    <row r="74" spans="1:26" s="29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0</v>
      </c>
      <c r="E74" s="1"/>
      <c r="F74" s="5">
        <f t="shared" ref="F74:F82" si="45">IF(D$12=0,0,D74/D$12)</f>
        <v>0</v>
      </c>
      <c r="G74" s="1"/>
      <c r="H74" s="1">
        <f>SUM(OSRRefH22_13x_0)</f>
        <v>11750</v>
      </c>
      <c r="I74" s="1"/>
      <c r="J74" s="5">
        <f t="shared" ref="J74:J82" si="46">IF(H$12=0,0,H74/H$12)</f>
        <v>7.1029167296357873E-2</v>
      </c>
      <c r="K74" s="1"/>
      <c r="L74" s="1">
        <f t="shared" ref="L74:L82" si="47">+D74-H74</f>
        <v>-11750</v>
      </c>
      <c r="M74" s="1"/>
      <c r="N74" s="5">
        <f t="shared" ref="N74:N82" si="48">IF(H74=0,0,L74/H74)</f>
        <v>-1</v>
      </c>
      <c r="O74" s="14"/>
      <c r="P74" s="1">
        <f>SUM(OSRRefP22_13x_0)</f>
        <v>7986.3899999999994</v>
      </c>
      <c r="Q74" s="1"/>
      <c r="R74" s="5">
        <f t="shared" ref="R74:R82" si="49">IF(P$12=0,0,P74/P$12)</f>
        <v>0.33553271725375722</v>
      </c>
      <c r="S74" s="1"/>
      <c r="T74" s="1">
        <f>SUM(OSRRefT22_13x_0)</f>
        <v>63250</v>
      </c>
      <c r="U74" s="1"/>
      <c r="V74" s="5">
        <f t="shared" ref="V74:V82" si="50">IF(T$12=0,0,T74/T$12)</f>
        <v>0.10061802534142519</v>
      </c>
      <c r="W74" s="1"/>
      <c r="X74" s="1">
        <f t="shared" ref="X74:X82" si="51">+P74-T74</f>
        <v>-55263.61</v>
      </c>
      <c r="Y74" s="1"/>
      <c r="Z74" s="5">
        <f t="shared" ref="Z74:Z82" si="52">IF(T74=0,0,X74/T74)</f>
        <v>-0.87373296442687753</v>
      </c>
    </row>
    <row r="75" spans="1:26" s="24" customFormat="1" hidden="1" outlineLevel="2" x14ac:dyDescent="0.25">
      <c r="A75" s="28"/>
      <c r="B75" s="11" t="str">
        <f>CONCATENATE("          ", "6235", " - ", "COVID-19 EXPENSES")</f>
        <v xml:space="preserve">          6235 - COVID-19 EXPENSES</v>
      </c>
      <c r="C75" s="11"/>
      <c r="D75" s="6"/>
      <c r="E75" s="2"/>
      <c r="F75" s="7">
        <f t="shared" si="45"/>
        <v>0</v>
      </c>
      <c r="G75" s="2"/>
      <c r="H75" s="6">
        <v>5000</v>
      </c>
      <c r="I75" s="2"/>
      <c r="J75" s="7">
        <f t="shared" si="46"/>
        <v>3.022517757291824E-2</v>
      </c>
      <c r="K75" s="2"/>
      <c r="L75" s="6">
        <f t="shared" si="47"/>
        <v>-5000</v>
      </c>
      <c r="M75" s="2"/>
      <c r="N75" s="7">
        <f t="shared" si="48"/>
        <v>-1</v>
      </c>
      <c r="O75" s="11"/>
      <c r="P75" s="6">
        <v>1375.08</v>
      </c>
      <c r="Q75" s="2"/>
      <c r="R75" s="7">
        <f t="shared" si="49"/>
        <v>5.7771324571088627E-2</v>
      </c>
      <c r="S75" s="2"/>
      <c r="T75" s="6">
        <v>25000</v>
      </c>
      <c r="U75" s="2"/>
      <c r="V75" s="7">
        <f t="shared" si="50"/>
        <v>3.9769970490681893E-2</v>
      </c>
      <c r="W75" s="2"/>
      <c r="X75" s="6">
        <f t="shared" si="51"/>
        <v>-23624.92</v>
      </c>
      <c r="Y75" s="2"/>
      <c r="Z75" s="7">
        <f t="shared" si="52"/>
        <v>-0.94499679999999997</v>
      </c>
    </row>
    <row r="76" spans="1:26" s="24" customFormat="1" hidden="1" outlineLevel="2" x14ac:dyDescent="0.25">
      <c r="A76" s="28"/>
      <c r="B76" s="11" t="str">
        <f>CONCATENATE("          ", "6237", " - ", "JANITORIAL SUPPLIES")</f>
        <v xml:space="preserve">          6237 - JANITORIAL SUPPLIES</v>
      </c>
      <c r="C76" s="11"/>
      <c r="D76" s="6"/>
      <c r="E76" s="2"/>
      <c r="F76" s="7">
        <f t="shared" si="45"/>
        <v>0</v>
      </c>
      <c r="G76" s="2"/>
      <c r="H76" s="6">
        <v>4000</v>
      </c>
      <c r="I76" s="2"/>
      <c r="J76" s="7">
        <f t="shared" si="46"/>
        <v>2.4180142058334592E-2</v>
      </c>
      <c r="K76" s="2"/>
      <c r="L76" s="6">
        <f t="shared" si="47"/>
        <v>-4000</v>
      </c>
      <c r="M76" s="2"/>
      <c r="N76" s="7">
        <f t="shared" si="48"/>
        <v>-1</v>
      </c>
      <c r="O76" s="11"/>
      <c r="P76" s="6">
        <v>2550.9899999999998</v>
      </c>
      <c r="Q76" s="2"/>
      <c r="R76" s="7">
        <f t="shared" si="49"/>
        <v>0.10717490710911465</v>
      </c>
      <c r="S76" s="2"/>
      <c r="T76" s="6">
        <v>20000</v>
      </c>
      <c r="U76" s="2"/>
      <c r="V76" s="7">
        <f t="shared" si="50"/>
        <v>3.181597639254552E-2</v>
      </c>
      <c r="W76" s="2"/>
      <c r="X76" s="6">
        <f t="shared" si="51"/>
        <v>-17449.010000000002</v>
      </c>
      <c r="Y76" s="2"/>
      <c r="Z76" s="7">
        <f t="shared" si="52"/>
        <v>-0.87245050000000013</v>
      </c>
    </row>
    <row r="77" spans="1:26" s="24" customFormat="1" hidden="1" outlineLevel="2" x14ac:dyDescent="0.25">
      <c r="A77" s="28"/>
      <c r="B77" s="11" t="str">
        <f>CONCATENATE("          ", "6239", " - ", "KITCHEN SUPPLIES")</f>
        <v xml:space="preserve">          6239 - KITCHEN SUPPLIES</v>
      </c>
      <c r="C77" s="11"/>
      <c r="D77" s="6"/>
      <c r="E77" s="2"/>
      <c r="F77" s="7">
        <f t="shared" si="45"/>
        <v>0</v>
      </c>
      <c r="G77" s="2"/>
      <c r="H77" s="6">
        <v>1500</v>
      </c>
      <c r="I77" s="2"/>
      <c r="J77" s="7">
        <f t="shared" si="46"/>
        <v>9.0675532718754726E-3</v>
      </c>
      <c r="K77" s="2"/>
      <c r="L77" s="6">
        <f t="shared" si="47"/>
        <v>-1500</v>
      </c>
      <c r="M77" s="2"/>
      <c r="N77" s="7">
        <f t="shared" si="48"/>
        <v>-1</v>
      </c>
      <c r="O77" s="11"/>
      <c r="P77" s="6">
        <v>1031.07</v>
      </c>
      <c r="Q77" s="2"/>
      <c r="R77" s="7">
        <f t="shared" si="49"/>
        <v>4.3318410292864672E-2</v>
      </c>
      <c r="S77" s="2"/>
      <c r="T77" s="6">
        <v>7500</v>
      </c>
      <c r="U77" s="2"/>
      <c r="V77" s="7">
        <f t="shared" si="50"/>
        <v>1.1930991147204568E-2</v>
      </c>
      <c r="W77" s="2"/>
      <c r="X77" s="6">
        <f t="shared" si="51"/>
        <v>-6468.93</v>
      </c>
      <c r="Y77" s="2"/>
      <c r="Z77" s="7">
        <f t="shared" si="52"/>
        <v>-0.86252400000000007</v>
      </c>
    </row>
    <row r="78" spans="1:26" s="24" customFormat="1" hidden="1" outlineLevel="2" x14ac:dyDescent="0.25">
      <c r="A78" s="28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45"/>
        <v>0</v>
      </c>
      <c r="G78" s="2"/>
      <c r="H78" s="6">
        <v>500</v>
      </c>
      <c r="I78" s="2"/>
      <c r="J78" s="7">
        <f t="shared" si="46"/>
        <v>3.022517757291824E-3</v>
      </c>
      <c r="K78" s="2"/>
      <c r="L78" s="6">
        <f t="shared" si="47"/>
        <v>-500</v>
      </c>
      <c r="M78" s="2"/>
      <c r="N78" s="7">
        <f t="shared" si="48"/>
        <v>-1</v>
      </c>
      <c r="O78" s="11"/>
      <c r="P78" s="6">
        <v>19.7</v>
      </c>
      <c r="Q78" s="2"/>
      <c r="R78" s="7">
        <f t="shared" si="49"/>
        <v>8.2765736833525757E-4</v>
      </c>
      <c r="S78" s="2"/>
      <c r="T78" s="6">
        <v>2500</v>
      </c>
      <c r="U78" s="2"/>
      <c r="V78" s="7">
        <f t="shared" si="50"/>
        <v>3.97699704906819E-3</v>
      </c>
      <c r="W78" s="2"/>
      <c r="X78" s="6">
        <f t="shared" si="51"/>
        <v>-2480.3000000000002</v>
      </c>
      <c r="Y78" s="2"/>
      <c r="Z78" s="7">
        <f t="shared" si="52"/>
        <v>-0.99212000000000011</v>
      </c>
    </row>
    <row r="79" spans="1:26" s="24" customFormat="1" hidden="1" outlineLevel="2" x14ac:dyDescent="0.25">
      <c r="A79" s="28"/>
      <c r="B79" s="11" t="str">
        <f>CONCATENATE("          ", "6243", " - ", "PAPER SUPPLIES")</f>
        <v xml:space="preserve">          6243 - PAPER SUPPLIES</v>
      </c>
      <c r="C79" s="11"/>
      <c r="D79" s="6"/>
      <c r="E79" s="2"/>
      <c r="F79" s="7">
        <f t="shared" si="45"/>
        <v>0</v>
      </c>
      <c r="G79" s="2"/>
      <c r="H79" s="6">
        <v>500</v>
      </c>
      <c r="I79" s="2"/>
      <c r="J79" s="7">
        <f t="shared" si="46"/>
        <v>3.022517757291824E-3</v>
      </c>
      <c r="K79" s="2"/>
      <c r="L79" s="6">
        <f t="shared" si="47"/>
        <v>-500</v>
      </c>
      <c r="M79" s="2"/>
      <c r="N79" s="7">
        <f t="shared" si="48"/>
        <v>-1</v>
      </c>
      <c r="O79" s="11"/>
      <c r="P79" s="6">
        <v>3009.55</v>
      </c>
      <c r="Q79" s="2"/>
      <c r="R79" s="7">
        <f t="shared" si="49"/>
        <v>0.12644041791235403</v>
      </c>
      <c r="S79" s="2"/>
      <c r="T79" s="6">
        <v>2500</v>
      </c>
      <c r="U79" s="2"/>
      <c r="V79" s="7">
        <f t="shared" si="50"/>
        <v>3.97699704906819E-3</v>
      </c>
      <c r="W79" s="2"/>
      <c r="X79" s="6">
        <f t="shared" si="51"/>
        <v>509.55000000000018</v>
      </c>
      <c r="Y79" s="2"/>
      <c r="Z79" s="7">
        <f t="shared" si="52"/>
        <v>0.20382000000000008</v>
      </c>
    </row>
    <row r="80" spans="1:26" s="24" customFormat="1" hidden="1" outlineLevel="2" x14ac:dyDescent="0.25">
      <c r="A80" s="28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5"/>
        <v>0</v>
      </c>
      <c r="G80" s="2"/>
      <c r="H80" s="6">
        <v>100</v>
      </c>
      <c r="I80" s="2"/>
      <c r="J80" s="7">
        <f t="shared" si="46"/>
        <v>6.0450355145836481E-4</v>
      </c>
      <c r="K80" s="2"/>
      <c r="L80" s="6">
        <f t="shared" si="47"/>
        <v>-100</v>
      </c>
      <c r="M80" s="2"/>
      <c r="N80" s="7">
        <f t="shared" si="48"/>
        <v>-1</v>
      </c>
      <c r="O80" s="11"/>
      <c r="P80" s="6"/>
      <c r="Q80" s="2"/>
      <c r="R80" s="7">
        <f t="shared" si="49"/>
        <v>0</v>
      </c>
      <c r="S80" s="2"/>
      <c r="T80" s="6">
        <v>500</v>
      </c>
      <c r="U80" s="2"/>
      <c r="V80" s="7">
        <f t="shared" si="50"/>
        <v>7.9539940981363791E-4</v>
      </c>
      <c r="W80" s="2"/>
      <c r="X80" s="6">
        <f t="shared" si="51"/>
        <v>-500</v>
      </c>
      <c r="Y80" s="2"/>
      <c r="Z80" s="7">
        <f t="shared" si="52"/>
        <v>-1</v>
      </c>
    </row>
    <row r="81" spans="1:26" s="24" customFormat="1" hidden="1" outlineLevel="2" x14ac:dyDescent="0.25">
      <c r="A81" s="28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5"/>
        <v>0</v>
      </c>
      <c r="G81" s="2"/>
      <c r="H81" s="6">
        <v>150</v>
      </c>
      <c r="I81" s="2"/>
      <c r="J81" s="7">
        <f t="shared" si="46"/>
        <v>9.0675532718754721E-4</v>
      </c>
      <c r="K81" s="2"/>
      <c r="L81" s="6">
        <f t="shared" si="47"/>
        <v>-150</v>
      </c>
      <c r="M81" s="2"/>
      <c r="N81" s="7">
        <f t="shared" si="48"/>
        <v>-1</v>
      </c>
      <c r="O81" s="11"/>
      <c r="P81" s="6"/>
      <c r="Q81" s="2"/>
      <c r="R81" s="7">
        <f t="shared" si="49"/>
        <v>0</v>
      </c>
      <c r="S81" s="2"/>
      <c r="T81" s="6">
        <v>750</v>
      </c>
      <c r="U81" s="2"/>
      <c r="V81" s="7">
        <f t="shared" si="50"/>
        <v>1.1930991147204569E-3</v>
      </c>
      <c r="W81" s="2"/>
      <c r="X81" s="6">
        <f t="shared" si="51"/>
        <v>-750</v>
      </c>
      <c r="Y81" s="2"/>
      <c r="Z81" s="7">
        <f t="shared" si="52"/>
        <v>-1</v>
      </c>
    </row>
    <row r="82" spans="1:26" s="24" customFormat="1" hidden="1" outlineLevel="2" x14ac:dyDescent="0.25">
      <c r="A82" s="28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5"/>
        <v>0</v>
      </c>
      <c r="G82" s="2"/>
      <c r="H82" s="6"/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/>
      <c r="Q82" s="2"/>
      <c r="R82" s="7">
        <f t="shared" si="49"/>
        <v>0</v>
      </c>
      <c r="S82" s="2"/>
      <c r="T82" s="6">
        <v>4500</v>
      </c>
      <c r="U82" s="2"/>
      <c r="V82" s="7">
        <f t="shared" si="50"/>
        <v>7.1585946883227416E-3</v>
      </c>
      <c r="W82" s="2"/>
      <c r="X82" s="6">
        <f t="shared" si="51"/>
        <v>-4500</v>
      </c>
      <c r="Y82" s="2"/>
      <c r="Z82" s="7">
        <f t="shared" si="52"/>
        <v>-1</v>
      </c>
    </row>
    <row r="83" spans="1:26" s="29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139</v>
      </c>
      <c r="E83" s="1"/>
      <c r="F83" s="5">
        <f t="shared" ref="F83:F84" si="53">IF(D$12=0,0,D83/D$12)</f>
        <v>0</v>
      </c>
      <c r="G83" s="1"/>
      <c r="H83" s="1">
        <f>SUM(OSRRefH22_14x_0)</f>
        <v>175</v>
      </c>
      <c r="I83" s="1"/>
      <c r="J83" s="5">
        <f t="shared" ref="J83:J84" si="54">IF(H$12=0,0,H83/H$12)</f>
        <v>1.0578812150521385E-3</v>
      </c>
      <c r="K83" s="1"/>
      <c r="L83" s="1">
        <f t="shared" ref="L83:L84" si="55">+D83-H83</f>
        <v>-36</v>
      </c>
      <c r="M83" s="1"/>
      <c r="N83" s="5">
        <f t="shared" ref="N83:N84" si="56">IF(H83=0,0,L83/H83)</f>
        <v>-0.20571428571428571</v>
      </c>
      <c r="O83" s="14"/>
      <c r="P83" s="1">
        <f>SUM(OSRRefP22_14x_0)</f>
        <v>781</v>
      </c>
      <c r="Q83" s="1"/>
      <c r="R83" s="5">
        <f t="shared" ref="R83:R84" si="57">IF(P$12=0,0,P83/P$12)</f>
        <v>3.2812203282732801E-2</v>
      </c>
      <c r="S83" s="1"/>
      <c r="T83" s="1">
        <f>SUM(OSRRefT22_14x_0)</f>
        <v>875</v>
      </c>
      <c r="U83" s="1"/>
      <c r="V83" s="5">
        <f t="shared" ref="V83:V84" si="58">IF(T$12=0,0,T83/T$12)</f>
        <v>1.3919489671738664E-3</v>
      </c>
      <c r="W83" s="1"/>
      <c r="X83" s="1">
        <f t="shared" ref="X83:X84" si="59">+P83-T83</f>
        <v>-94</v>
      </c>
      <c r="Y83" s="1"/>
      <c r="Z83" s="5">
        <f t="shared" ref="Z83:Z84" si="60">IF(T83=0,0,X83/T83)</f>
        <v>-0.10742857142857143</v>
      </c>
    </row>
    <row r="84" spans="1:26" s="24" customFormat="1" hidden="1" outlineLevel="2" x14ac:dyDescent="0.25">
      <c r="A84" s="28"/>
      <c r="B84" s="11" t="str">
        <f>CONCATENATE("          ", "6309", " - ", "TELEPHONE")</f>
        <v xml:space="preserve">          6309 - TELEPHONE</v>
      </c>
      <c r="C84" s="11"/>
      <c r="D84" s="6">
        <v>139</v>
      </c>
      <c r="E84" s="2"/>
      <c r="F84" s="7">
        <f t="shared" si="53"/>
        <v>0</v>
      </c>
      <c r="G84" s="2"/>
      <c r="H84" s="6">
        <v>175</v>
      </c>
      <c r="I84" s="2"/>
      <c r="J84" s="7">
        <f t="shared" si="54"/>
        <v>1.0578812150521385E-3</v>
      </c>
      <c r="K84" s="2"/>
      <c r="L84" s="6">
        <f t="shared" si="55"/>
        <v>-36</v>
      </c>
      <c r="M84" s="2"/>
      <c r="N84" s="7">
        <f t="shared" si="56"/>
        <v>-0.20571428571428571</v>
      </c>
      <c r="O84" s="11"/>
      <c r="P84" s="6">
        <v>781</v>
      </c>
      <c r="Q84" s="2"/>
      <c r="R84" s="7">
        <f t="shared" si="57"/>
        <v>3.2812203282732801E-2</v>
      </c>
      <c r="S84" s="2"/>
      <c r="T84" s="6">
        <v>875</v>
      </c>
      <c r="U84" s="2"/>
      <c r="V84" s="7">
        <f t="shared" si="58"/>
        <v>1.3919489671738664E-3</v>
      </c>
      <c r="W84" s="2"/>
      <c r="X84" s="6">
        <f t="shared" si="59"/>
        <v>-94</v>
      </c>
      <c r="Y84" s="2"/>
      <c r="Z84" s="7">
        <f t="shared" si="60"/>
        <v>-0.10742857142857143</v>
      </c>
    </row>
    <row r="85" spans="1:26" s="62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6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5" t="s">
        <v>3</v>
      </c>
      <c r="C88" s="25"/>
      <c r="D88" s="21">
        <f>+D23-D25+D86</f>
        <v>-49295.869999999995</v>
      </c>
      <c r="E88" s="13"/>
      <c r="F88" s="20">
        <f>IF(D$12=0,0,D88/D$12)</f>
        <v>0</v>
      </c>
      <c r="G88" s="13"/>
      <c r="H88" s="21">
        <f>+H23-H25+H86</f>
        <v>-5132.762730769231</v>
      </c>
      <c r="I88" s="13"/>
      <c r="J88" s="20">
        <f>IF(H$12=0,0,H88/H$12)</f>
        <v>-3.1027732995431351E-2</v>
      </c>
      <c r="K88" s="16"/>
      <c r="L88" s="21">
        <f>+D88-H88</f>
        <v>-44163.107269230764</v>
      </c>
      <c r="M88" s="16"/>
      <c r="N88" s="20">
        <f>IF(H88=0,0,L88/H88)</f>
        <v>8.6041591216534137</v>
      </c>
      <c r="O88" s="26"/>
      <c r="P88" s="21">
        <f>+P23-P25+P86</f>
        <v>-272122.95999999996</v>
      </c>
      <c r="Q88" s="13"/>
      <c r="R88" s="20">
        <f>IF(P$12=0,0,P88/P$12)</f>
        <v>-11.432719438436575</v>
      </c>
      <c r="S88" s="13"/>
      <c r="T88" s="21">
        <f>+T23-T25+T86</f>
        <v>-154914.8741392307</v>
      </c>
      <c r="U88" s="13"/>
      <c r="V88" s="20">
        <f>IF(T$12=0,0,T88/T$12)</f>
        <v>-0.2464383989233962</v>
      </c>
      <c r="W88" s="16"/>
      <c r="X88" s="21">
        <f>+P88-T88</f>
        <v>-117208.08586076926</v>
      </c>
      <c r="Y88" s="16"/>
      <c r="Z88" s="20">
        <f>IF(T88=0,0,X88/T88)</f>
        <v>0.75659672134147538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-1373.89</v>
      </c>
      <c r="E90" s="4"/>
      <c r="F90" s="12">
        <f>IF(D$12=0,0,D90/D$12)</f>
        <v>0</v>
      </c>
      <c r="G90" s="4"/>
      <c r="H90" s="4">
        <v>36280</v>
      </c>
      <c r="I90" s="4"/>
      <c r="J90" s="12">
        <f>IF(H$12=0,0,H90/H$12)</f>
        <v>0.21931388846909475</v>
      </c>
      <c r="K90" s="4"/>
      <c r="L90" s="4">
        <f>+D90-H90</f>
        <v>-37653.89</v>
      </c>
      <c r="M90" s="4"/>
      <c r="N90" s="12">
        <f>IF(H90=0,0,L90/H90)</f>
        <v>-1.0378690738699008</v>
      </c>
      <c r="O90" s="10"/>
      <c r="P90" s="4">
        <v>3782.16</v>
      </c>
      <c r="Q90" s="4"/>
      <c r="R90" s="12">
        <f>IF(P$12=0,0,P90/P$12)</f>
        <v>0.15890013158491764</v>
      </c>
      <c r="S90" s="4"/>
      <c r="T90" s="4">
        <v>112113</v>
      </c>
      <c r="U90" s="4"/>
      <c r="V90" s="12">
        <f>IF(T$12=0,0,T90/T$12)</f>
        <v>0.17834922806487277</v>
      </c>
      <c r="W90" s="4"/>
      <c r="X90" s="4">
        <f>+P90-T90</f>
        <v>-108330.84</v>
      </c>
      <c r="Y90" s="4"/>
      <c r="Z90" s="12">
        <f>IF(T90=0,0,X90/T90)</f>
        <v>-0.96626475074255436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4</v>
      </c>
      <c r="C92" s="25"/>
      <c r="D92" s="31">
        <f>+D88-D90</f>
        <v>-47921.979999999996</v>
      </c>
      <c r="E92" s="13"/>
      <c r="F92" s="34">
        <f>IF(D$12=0,0,D92/D$12)</f>
        <v>0</v>
      </c>
      <c r="G92" s="13"/>
      <c r="H92" s="31">
        <f>+H88-H90</f>
        <v>-41412.762730769231</v>
      </c>
      <c r="I92" s="13"/>
      <c r="J92" s="34">
        <f>IF(H$12=0,0,H92/H$12)</f>
        <v>-0.2503416214645261</v>
      </c>
      <c r="K92" s="16"/>
      <c r="L92" s="31">
        <f>D92-H92</f>
        <v>-6509.2172692307649</v>
      </c>
      <c r="M92" s="16"/>
      <c r="N92" s="34">
        <f>IF(H92=0,0,L92/H92)</f>
        <v>0.15717901535688869</v>
      </c>
      <c r="O92" s="26"/>
      <c r="P92" s="31">
        <f>+P88-P90</f>
        <v>-275905.11999999994</v>
      </c>
      <c r="Q92" s="13"/>
      <c r="R92" s="34">
        <f>IF(P$12=0,0,P92/P$12)</f>
        <v>-11.591619570021491</v>
      </c>
      <c r="S92" s="13"/>
      <c r="T92" s="31">
        <f>+T88-T90</f>
        <v>-267027.8741392307</v>
      </c>
      <c r="U92" s="13"/>
      <c r="V92" s="34">
        <f>IF(T$12=0,0,T92/T$12)</f>
        <v>-0.424787626988269</v>
      </c>
      <c r="W92" s="16"/>
      <c r="X92" s="31">
        <f>P92-T92</f>
        <v>-8877.2458607692388</v>
      </c>
      <c r="Y92" s="16"/>
      <c r="Z92" s="34">
        <f>IF(T92=0,0,X92/T92)</f>
        <v>3.3244641179821413E-2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5</v>
      </c>
      <c r="C95" s="25"/>
      <c r="D95" s="33">
        <f>SUM(D92:D94)</f>
        <v>-47921.979999999996</v>
      </c>
      <c r="E95" s="13"/>
      <c r="F95" s="30">
        <f>IF(D$12=0,0,D95/D$12)</f>
        <v>0</v>
      </c>
      <c r="G95" s="13"/>
      <c r="H95" s="33">
        <f>SUM(H92:H94)</f>
        <v>-41412.762730769231</v>
      </c>
      <c r="I95" s="13"/>
      <c r="J95" s="30">
        <f>IF(H$12=0,0,H95/H$12)</f>
        <v>-0.2503416214645261</v>
      </c>
      <c r="K95" s="16"/>
      <c r="L95" s="33">
        <f>+D95-H95</f>
        <v>-6509.2172692307649</v>
      </c>
      <c r="M95" s="16"/>
      <c r="N95" s="30">
        <f>IF(H95=0,0,L95/H95)</f>
        <v>0.15717901535688869</v>
      </c>
      <c r="O95" s="26"/>
      <c r="P95" s="33">
        <f>SUM(P92:P94)</f>
        <v>-275905.11999999994</v>
      </c>
      <c r="Q95" s="13"/>
      <c r="R95" s="30">
        <f>IF(P$12=0,0,P95/P$12)</f>
        <v>-11.591619570021491</v>
      </c>
      <c r="S95" s="13"/>
      <c r="T95" s="33">
        <f>SUM(T92:T94)</f>
        <v>-267027.8741392307</v>
      </c>
      <c r="U95" s="13"/>
      <c r="V95" s="30">
        <f>IF(T$12=0,0,T95/T$12)</f>
        <v>-0.424787626988269</v>
      </c>
      <c r="W95" s="16"/>
      <c r="X95" s="33">
        <f>+P95-T95</f>
        <v>-8877.2458607692388</v>
      </c>
      <c r="Y95" s="16"/>
      <c r="Z95" s="30">
        <f>IF(T95=0,0,X95/T95)</f>
        <v>3.3244641179821413E-2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>
        <v>44174.680104895837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7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3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19">
        <f>SUM(OSRRefD22x_0)</f>
        <v>0</v>
      </c>
      <c r="E18" s="19"/>
      <c r="F18" s="35">
        <f t="shared" ref="F18:F20" si="0">IF(D$12=0,0,D18/D$12)</f>
        <v>0</v>
      </c>
      <c r="G18" s="19"/>
      <c r="H18" s="19">
        <f>SUM(OSRRefH22x_0)</f>
        <v>0</v>
      </c>
      <c r="I18" s="19"/>
      <c r="J18" s="35">
        <f t="shared" ref="J18:J20" si="1">IF(H$12=0,0,H18/H$12)</f>
        <v>0</v>
      </c>
      <c r="K18" s="4"/>
      <c r="L18" s="19">
        <f t="shared" ref="L18:L20" si="2">+D18-H18</f>
        <v>0</v>
      </c>
      <c r="M18" s="4"/>
      <c r="N18" s="35">
        <f t="shared" ref="N18:N20" si="3">IF(H18=0,0,L18/H18)</f>
        <v>0</v>
      </c>
      <c r="O18" s="10"/>
      <c r="P18" s="19">
        <f>SUM(OSRRefP22x_0)</f>
        <v>178.69</v>
      </c>
      <c r="Q18" s="19"/>
      <c r="R18" s="35">
        <f t="shared" ref="R18:R20" si="4">IF(P$12=0,0,P18/P$12)</f>
        <v>0</v>
      </c>
      <c r="S18" s="19"/>
      <c r="T18" s="19">
        <f>SUM(OSRRefT22x_0)</f>
        <v>0</v>
      </c>
      <c r="U18" s="19"/>
      <c r="V18" s="35">
        <f t="shared" ref="V18:V20" si="5">IF(T$12=0,0,T18/T$12)</f>
        <v>0</v>
      </c>
      <c r="W18" s="4"/>
      <c r="X18" s="19">
        <f t="shared" ref="X18:X20" si="6">+P18-T18</f>
        <v>178.69</v>
      </c>
      <c r="Y18" s="4"/>
      <c r="Z18" s="35">
        <f t="shared" ref="Z18:Z20" si="7">IF(T18=0,0,X18/T18)</f>
        <v>0</v>
      </c>
    </row>
    <row r="19" spans="1:26" s="29" customFormat="1" outlineLevel="1" collapsed="1" x14ac:dyDescent="0.25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178.69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178.69</v>
      </c>
      <c r="Y20" s="2"/>
      <c r="Z20" s="7">
        <f t="shared" si="7"/>
        <v>0</v>
      </c>
    </row>
    <row r="21" spans="1:26" s="62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21">
        <f>+D16-D18+D22</f>
        <v>0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6"/>
      <c r="L24" s="21">
        <f>+D24-H24</f>
        <v>0</v>
      </c>
      <c r="M24" s="16"/>
      <c r="N24" s="20">
        <f>IF(H24=0,0,L24/H24)</f>
        <v>0</v>
      </c>
      <c r="O24" s="26"/>
      <c r="P24" s="21">
        <f>+P16-P18+P22</f>
        <v>-178.69</v>
      </c>
      <c r="Q24" s="13"/>
      <c r="R24" s="20">
        <f>IF(P$12=0,0,P24/P$12)</f>
        <v>0</v>
      </c>
      <c r="S24" s="13"/>
      <c r="T24" s="21">
        <f>+T16-T18+T22</f>
        <v>0</v>
      </c>
      <c r="U24" s="13"/>
      <c r="V24" s="20">
        <f>IF(T$12=0,0,T24/T$12)</f>
        <v>0</v>
      </c>
      <c r="W24" s="16"/>
      <c r="X24" s="21">
        <f>+P24-T24</f>
        <v>-178.69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1">
        <f>+D24-D26</f>
        <v>0</v>
      </c>
      <c r="E28" s="13"/>
      <c r="F28" s="34">
        <f>IF(D$12=0,0,D28/D$12)</f>
        <v>0</v>
      </c>
      <c r="G28" s="13"/>
      <c r="H28" s="31">
        <f>+H24-H26</f>
        <v>0</v>
      </c>
      <c r="I28" s="13"/>
      <c r="J28" s="34">
        <f>IF(H$12=0,0,H28/H$12)</f>
        <v>0</v>
      </c>
      <c r="K28" s="16"/>
      <c r="L28" s="31">
        <f>D28-H28</f>
        <v>0</v>
      </c>
      <c r="M28" s="16"/>
      <c r="N28" s="34">
        <f>IF(H28=0,0,L28/H28)</f>
        <v>0</v>
      </c>
      <c r="O28" s="26"/>
      <c r="P28" s="31">
        <f>+P24-P26</f>
        <v>-178.69</v>
      </c>
      <c r="Q28" s="13"/>
      <c r="R28" s="34">
        <f>IF(P$12=0,0,P28/P$12)</f>
        <v>0</v>
      </c>
      <c r="S28" s="13"/>
      <c r="T28" s="31">
        <f>+T24-T26</f>
        <v>0</v>
      </c>
      <c r="U28" s="13"/>
      <c r="V28" s="34">
        <f>IF(T$12=0,0,T28/T$12)</f>
        <v>0</v>
      </c>
      <c r="W28" s="16"/>
      <c r="X28" s="31">
        <f>P28-T28</f>
        <v>-178.69</v>
      </c>
      <c r="Y28" s="16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SUM(D28:D30)</f>
        <v>0</v>
      </c>
      <c r="E31" s="13"/>
      <c r="F31" s="30">
        <f>IF(D$12=0,0,D31/D$12)</f>
        <v>0</v>
      </c>
      <c r="G31" s="13"/>
      <c r="H31" s="33">
        <f>SUM(H28:H30)</f>
        <v>0</v>
      </c>
      <c r="I31" s="13"/>
      <c r="J31" s="30">
        <f>IF(H$12=0,0,H31/H$12)</f>
        <v>0</v>
      </c>
      <c r="K31" s="16"/>
      <c r="L31" s="33">
        <f>+D31-H31</f>
        <v>0</v>
      </c>
      <c r="M31" s="16"/>
      <c r="N31" s="30">
        <f>IF(H31=0,0,L31/H31)</f>
        <v>0</v>
      </c>
      <c r="O31" s="26"/>
      <c r="P31" s="33">
        <f>SUM(P28:P30)</f>
        <v>-178.69</v>
      </c>
      <c r="Q31" s="13"/>
      <c r="R31" s="30">
        <f>IF(P$12=0,0,P31/P$12)</f>
        <v>0</v>
      </c>
      <c r="S31" s="13"/>
      <c r="T31" s="33">
        <f>SUM(T28:T30)</f>
        <v>0</v>
      </c>
      <c r="U31" s="13"/>
      <c r="V31" s="30">
        <f>IF(T$12=0,0,T31/T$12)</f>
        <v>0</v>
      </c>
      <c r="W31" s="16"/>
      <c r="X31" s="33">
        <f>+P31-T31</f>
        <v>-178.69</v>
      </c>
      <c r="Y31" s="16"/>
      <c r="Z31" s="30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5">
        <v>44174.680120752317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107759.14</v>
      </c>
      <c r="E12" s="4"/>
      <c r="F12" s="12"/>
      <c r="G12" s="4"/>
      <c r="H12" s="4">
        <f>SUM(OSRRefH13x_0)</f>
        <v>166751</v>
      </c>
      <c r="I12" s="4"/>
      <c r="J12" s="12"/>
      <c r="K12" s="4"/>
      <c r="L12" s="4">
        <f t="shared" ref="L12:L16" si="0">+D12-H12</f>
        <v>-58991.86</v>
      </c>
      <c r="M12" s="4"/>
      <c r="N12" s="12">
        <f t="shared" ref="N12:N16" si="1">IF(H12=0,0,L12/H12)</f>
        <v>-0.35377215129144651</v>
      </c>
      <c r="O12" s="10"/>
      <c r="P12" s="4">
        <f>SUM(OSRRefP13x_0)</f>
        <v>527618.81999999995</v>
      </c>
      <c r="Q12" s="4"/>
      <c r="R12" s="12"/>
      <c r="S12" s="4"/>
      <c r="T12" s="4">
        <f>SUM(OSRRefT13x_0)</f>
        <v>681171</v>
      </c>
      <c r="U12" s="4"/>
      <c r="V12" s="12"/>
      <c r="W12" s="4"/>
      <c r="X12" s="4">
        <f t="shared" ref="X12:X16" si="2">+P12-T12</f>
        <v>-153552.18000000005</v>
      </c>
      <c r="Y12" s="4"/>
      <c r="Z12" s="12">
        <f t="shared" ref="Z12:Z16" si="3">IF(T12=0,0,X12/T12)</f>
        <v>-0.22542383630542118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--92.59</f>
        <v>92.59</v>
      </c>
      <c r="E13" s="2"/>
      <c r="F13" s="22"/>
      <c r="G13" s="2"/>
      <c r="H13" s="2"/>
      <c r="I13" s="2"/>
      <c r="J13" s="22"/>
      <c r="K13" s="2"/>
      <c r="L13" s="2">
        <f t="shared" si="0"/>
        <v>92.59</v>
      </c>
      <c r="M13" s="2"/>
      <c r="N13" s="22">
        <f t="shared" si="1"/>
        <v>0</v>
      </c>
      <c r="O13" s="11"/>
      <c r="P13" s="2">
        <f>--277.38</f>
        <v>277.38</v>
      </c>
      <c r="Q13" s="2"/>
      <c r="R13" s="22"/>
      <c r="S13" s="2"/>
      <c r="T13" s="2"/>
      <c r="U13" s="2"/>
      <c r="V13" s="22"/>
      <c r="W13" s="2"/>
      <c r="X13" s="2">
        <f t="shared" si="2"/>
        <v>277.38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166751</v>
      </c>
      <c r="I14" s="2"/>
      <c r="J14" s="22"/>
      <c r="K14" s="2"/>
      <c r="L14" s="2">
        <f t="shared" si="0"/>
        <v>-166751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681171</v>
      </c>
      <c r="U14" s="2"/>
      <c r="V14" s="22"/>
      <c r="W14" s="2"/>
      <c r="X14" s="2">
        <f t="shared" si="2"/>
        <v>-681171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--97309.27</f>
        <v>97309.27</v>
      </c>
      <c r="E15" s="2"/>
      <c r="F15" s="22"/>
      <c r="G15" s="2"/>
      <c r="H15" s="2"/>
      <c r="I15" s="2"/>
      <c r="J15" s="22"/>
      <c r="K15" s="2"/>
      <c r="L15" s="2">
        <f t="shared" si="0"/>
        <v>97309.27</v>
      </c>
      <c r="M15" s="2"/>
      <c r="N15" s="22">
        <f t="shared" si="1"/>
        <v>0</v>
      </c>
      <c r="O15" s="11"/>
      <c r="P15" s="2">
        <f>--508706.05</f>
        <v>508706.05</v>
      </c>
      <c r="Q15" s="2"/>
      <c r="R15" s="22"/>
      <c r="S15" s="2"/>
      <c r="T15" s="2"/>
      <c r="U15" s="2"/>
      <c r="V15" s="22"/>
      <c r="W15" s="2"/>
      <c r="X15" s="2">
        <f t="shared" si="2"/>
        <v>508706.05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--10357.28</f>
        <v>10357.280000000001</v>
      </c>
      <c r="E16" s="2"/>
      <c r="F16" s="22"/>
      <c r="G16" s="2"/>
      <c r="H16" s="2"/>
      <c r="I16" s="2"/>
      <c r="J16" s="22"/>
      <c r="K16" s="2"/>
      <c r="L16" s="2">
        <f t="shared" si="0"/>
        <v>10357.280000000001</v>
      </c>
      <c r="M16" s="2"/>
      <c r="N16" s="22">
        <f t="shared" si="1"/>
        <v>0</v>
      </c>
      <c r="O16" s="11"/>
      <c r="P16" s="2">
        <f>--18635.39</f>
        <v>18635.39</v>
      </c>
      <c r="Q16" s="2"/>
      <c r="R16" s="22"/>
      <c r="S16" s="2"/>
      <c r="T16" s="2"/>
      <c r="U16" s="2"/>
      <c r="V16" s="22"/>
      <c r="W16" s="2"/>
      <c r="X16" s="2">
        <f t="shared" si="2"/>
        <v>18635.39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41258.25</v>
      </c>
      <c r="E18" s="4"/>
      <c r="F18" s="12">
        <f t="shared" ref="F18:F21" si="4">IF(D$12=0,0,D18/D$12)</f>
        <v>0.38287471485017421</v>
      </c>
      <c r="G18" s="4"/>
      <c r="H18" s="4">
        <f>SUM(OSRRefH16x_0)</f>
        <v>43355</v>
      </c>
      <c r="I18" s="4"/>
      <c r="J18" s="12">
        <f t="shared" ref="J18:J21" si="5">IF(H$12=0,0,H18/H$12)</f>
        <v>0.25999844078896078</v>
      </c>
      <c r="K18" s="4"/>
      <c r="L18" s="4">
        <f t="shared" ref="L18:L21" si="6">+D18-H18</f>
        <v>-2096.75</v>
      </c>
      <c r="M18" s="4"/>
      <c r="N18" s="12">
        <f t="shared" ref="N18:N21" si="7">IF(H18=0,0,L18/H18)</f>
        <v>-4.8362357282897013E-2</v>
      </c>
      <c r="O18" s="10"/>
      <c r="P18" s="4">
        <f>SUM(OSRRefP16x_0)</f>
        <v>190930.1</v>
      </c>
      <c r="Q18" s="4"/>
      <c r="R18" s="12">
        <f t="shared" ref="R18:R21" si="8">IF(P$12=0,0,P18/P$12)</f>
        <v>0.36187128427299092</v>
      </c>
      <c r="S18" s="4"/>
      <c r="T18" s="4">
        <f>SUM(OSRRefT16x_0)</f>
        <v>185011</v>
      </c>
      <c r="U18" s="4"/>
      <c r="V18" s="12">
        <f t="shared" ref="V18:V21" si="9">IF(T$12=0,0,T18/T$12)</f>
        <v>0.27160727629332426</v>
      </c>
      <c r="W18" s="4"/>
      <c r="X18" s="4">
        <f t="shared" ref="X18:X21" si="10">+P18-T18</f>
        <v>5919.1000000000058</v>
      </c>
      <c r="Y18" s="4"/>
      <c r="Z18" s="12">
        <f t="shared" ref="Z18:Z21" si="11">IF(T18=0,0,X18/T18)</f>
        <v>3.1993232834804451E-2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43355</v>
      </c>
      <c r="I19" s="2"/>
      <c r="J19" s="22">
        <f t="shared" si="5"/>
        <v>0.25999844078896078</v>
      </c>
      <c r="K19" s="2"/>
      <c r="L19" s="2">
        <f t="shared" si="6"/>
        <v>-43355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185011</v>
      </c>
      <c r="U19" s="2"/>
      <c r="V19" s="22">
        <f t="shared" si="9"/>
        <v>0.27160727629332426</v>
      </c>
      <c r="W19" s="2"/>
      <c r="X19" s="2">
        <f t="shared" si="10"/>
        <v>-185011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37703.25</v>
      </c>
      <c r="E20" s="2"/>
      <c r="F20" s="22">
        <f t="shared" si="4"/>
        <v>0.3498844738367437</v>
      </c>
      <c r="G20" s="2"/>
      <c r="H20" s="2"/>
      <c r="I20" s="2"/>
      <c r="J20" s="22">
        <f t="shared" si="5"/>
        <v>0</v>
      </c>
      <c r="K20" s="2"/>
      <c r="L20" s="2">
        <f t="shared" si="6"/>
        <v>37703.25</v>
      </c>
      <c r="M20" s="2"/>
      <c r="N20" s="22">
        <f t="shared" si="7"/>
        <v>0</v>
      </c>
      <c r="O20" s="11"/>
      <c r="P20" s="2">
        <v>209199.78</v>
      </c>
      <c r="Q20" s="2"/>
      <c r="R20" s="22">
        <f t="shared" si="8"/>
        <v>0.39649794903070368</v>
      </c>
      <c r="S20" s="2"/>
      <c r="T20" s="2"/>
      <c r="U20" s="2"/>
      <c r="V20" s="22">
        <f t="shared" si="9"/>
        <v>0</v>
      </c>
      <c r="W20" s="2"/>
      <c r="X20" s="2">
        <f t="shared" si="10"/>
        <v>209199.78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3555</v>
      </c>
      <c r="E21" s="2"/>
      <c r="F21" s="22">
        <f t="shared" si="4"/>
        <v>3.299024101343051E-2</v>
      </c>
      <c r="G21" s="2"/>
      <c r="H21" s="2"/>
      <c r="I21" s="2"/>
      <c r="J21" s="22">
        <f t="shared" si="5"/>
        <v>0</v>
      </c>
      <c r="K21" s="2"/>
      <c r="L21" s="2">
        <f t="shared" si="6"/>
        <v>3555</v>
      </c>
      <c r="M21" s="2"/>
      <c r="N21" s="22">
        <f t="shared" si="7"/>
        <v>0</v>
      </c>
      <c r="O21" s="11"/>
      <c r="P21" s="2">
        <v>-18269.68</v>
      </c>
      <c r="Q21" s="2"/>
      <c r="R21" s="22">
        <f t="shared" si="8"/>
        <v>-3.4626664757712776E-2</v>
      </c>
      <c r="S21" s="2"/>
      <c r="T21" s="2"/>
      <c r="U21" s="2"/>
      <c r="V21" s="22">
        <f t="shared" si="9"/>
        <v>0</v>
      </c>
      <c r="W21" s="2"/>
      <c r="X21" s="2">
        <f t="shared" si="10"/>
        <v>-18269.68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66500.89</v>
      </c>
      <c r="E23" s="13"/>
      <c r="F23" s="20">
        <f>IF(D$12=0,0,D23/D$12)</f>
        <v>0.61712528514982579</v>
      </c>
      <c r="G23" s="13"/>
      <c r="H23" s="21">
        <f>H12-H18</f>
        <v>123396</v>
      </c>
      <c r="I23" s="13"/>
      <c r="J23" s="20">
        <f>IF(H$12=0,0,H23/H$12)</f>
        <v>0.74000155921103916</v>
      </c>
      <c r="K23" s="16"/>
      <c r="L23" s="21">
        <f>+D23-H23</f>
        <v>-56895.11</v>
      </c>
      <c r="M23" s="16"/>
      <c r="N23" s="20">
        <f>IF(H23=0,0,L23/H23)</f>
        <v>-0.46107742552432818</v>
      </c>
      <c r="O23" s="26"/>
      <c r="P23" s="21">
        <f>P12-P18</f>
        <v>336688.72</v>
      </c>
      <c r="Q23" s="13"/>
      <c r="R23" s="20">
        <f>IF(P$12=0,0,P23/P$12)</f>
        <v>0.63812871572700913</v>
      </c>
      <c r="S23" s="13"/>
      <c r="T23" s="21">
        <f>T12-T18</f>
        <v>496160</v>
      </c>
      <c r="U23" s="13"/>
      <c r="V23" s="20">
        <f>IF(T$12=0,0,T23/T$12)</f>
        <v>0.72839272370667574</v>
      </c>
      <c r="W23" s="16"/>
      <c r="X23" s="21">
        <f>+P23-T23</f>
        <v>-159471.28000000003</v>
      </c>
      <c r="Y23" s="16"/>
      <c r="Z23" s="20">
        <f>IF(T23=0,0,X23/T23)</f>
        <v>-0.32141099645275722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19">
        <f>SUM(OSRRefD22x_0)</f>
        <v>135622.01</v>
      </c>
      <c r="E25" s="19"/>
      <c r="F25" s="35">
        <f t="shared" ref="F25:F36" si="12">IF(D$12=0,0,D25/D$12)</f>
        <v>1.2585661875178291</v>
      </c>
      <c r="G25" s="19"/>
      <c r="H25" s="19">
        <f>SUM(OSRRefH22x_0)</f>
        <v>132311.07216751931</v>
      </c>
      <c r="I25" s="19"/>
      <c r="J25" s="35">
        <f t="shared" ref="J25:J36" si="13">IF(H$12=0,0,H25/H$12)</f>
        <v>0.7934649397456045</v>
      </c>
      <c r="K25" s="4"/>
      <c r="L25" s="19">
        <f t="shared" ref="L25:L36" si="14">+D25-H25</f>
        <v>3310.9378324807039</v>
      </c>
      <c r="M25" s="4"/>
      <c r="N25" s="35">
        <f t="shared" ref="N25:N36" si="15">IF(H25=0,0,L25/H25)</f>
        <v>2.5023890882606703E-2</v>
      </c>
      <c r="O25" s="10"/>
      <c r="P25" s="19">
        <f>SUM(OSRRefP22x_0)</f>
        <v>593019.21999999986</v>
      </c>
      <c r="Q25" s="19"/>
      <c r="R25" s="35">
        <f t="shared" ref="R25:R36" si="16">IF(P$12=0,0,P25/P$12)</f>
        <v>1.1239538801894897</v>
      </c>
      <c r="S25" s="19"/>
      <c r="T25" s="19">
        <f>SUM(OSRRefT22x_0)</f>
        <v>621801.18297223095</v>
      </c>
      <c r="U25" s="19"/>
      <c r="V25" s="35">
        <f t="shared" ref="V25:V36" si="17">IF(T$12=0,0,T25/T$12)</f>
        <v>0.91284153754671138</v>
      </c>
      <c r="W25" s="4"/>
      <c r="X25" s="19">
        <f t="shared" ref="X25:X36" si="18">+P25-T25</f>
        <v>-28781.962972231093</v>
      </c>
      <c r="Y25" s="4"/>
      <c r="Z25" s="35">
        <f t="shared" ref="Z25:Z36" si="19">IF(T25=0,0,X25/T25)</f>
        <v>-4.6288047949108624E-2</v>
      </c>
    </row>
    <row r="26" spans="1:26" s="29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33451.560000000005</v>
      </c>
      <c r="E26" s="1"/>
      <c r="F26" s="5">
        <f t="shared" si="12"/>
        <v>0.31042898078065589</v>
      </c>
      <c r="G26" s="1"/>
      <c r="H26" s="1">
        <f>SUM(OSRRefH22_0x_0)</f>
        <v>35144.51562098079</v>
      </c>
      <c r="I26" s="1"/>
      <c r="J26" s="5">
        <f t="shared" si="13"/>
        <v>0.21076044893872176</v>
      </c>
      <c r="K26" s="1"/>
      <c r="L26" s="1">
        <f t="shared" si="14"/>
        <v>-1692.9556209807852</v>
      </c>
      <c r="M26" s="1"/>
      <c r="N26" s="5">
        <f t="shared" si="15"/>
        <v>-4.8171260609724098E-2</v>
      </c>
      <c r="O26" s="14"/>
      <c r="P26" s="1">
        <f>SUM(OSRRefP22_0x_0)</f>
        <v>154082.16</v>
      </c>
      <c r="Q26" s="1"/>
      <c r="R26" s="5">
        <f t="shared" si="16"/>
        <v>0.29203310071464095</v>
      </c>
      <c r="S26" s="1"/>
      <c r="T26" s="1">
        <f>SUM(OSRRefT22_0x_0)</f>
        <v>187541.62159376926</v>
      </c>
      <c r="U26" s="1"/>
      <c r="V26" s="5">
        <f t="shared" si="17"/>
        <v>0.27532238100824796</v>
      </c>
      <c r="W26" s="1"/>
      <c r="X26" s="1">
        <f t="shared" si="18"/>
        <v>-33459.461593769258</v>
      </c>
      <c r="Y26" s="1"/>
      <c r="Z26" s="5">
        <f t="shared" si="19"/>
        <v>-0.17841085786410246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6">
        <v>3504.01</v>
      </c>
      <c r="E27" s="2"/>
      <c r="F27" s="7">
        <f t="shared" si="12"/>
        <v>3.2517056093803273E-2</v>
      </c>
      <c r="G27" s="2"/>
      <c r="H27" s="6">
        <v>3171.7882047692301</v>
      </c>
      <c r="I27" s="2"/>
      <c r="J27" s="7">
        <f t="shared" si="13"/>
        <v>1.9021104549713227E-2</v>
      </c>
      <c r="K27" s="2"/>
      <c r="L27" s="6">
        <f t="shared" si="14"/>
        <v>332.22179523077011</v>
      </c>
      <c r="M27" s="2"/>
      <c r="N27" s="7">
        <f t="shared" si="15"/>
        <v>0.10474274251074768</v>
      </c>
      <c r="O27" s="11"/>
      <c r="P27" s="6">
        <v>18372.82</v>
      </c>
      <c r="Q27" s="2"/>
      <c r="R27" s="7">
        <f t="shared" si="16"/>
        <v>3.4822146791503764E-2</v>
      </c>
      <c r="S27" s="2"/>
      <c r="T27" s="6">
        <v>18174.854796230771</v>
      </c>
      <c r="U27" s="2"/>
      <c r="V27" s="7">
        <f t="shared" si="17"/>
        <v>2.6681780046758849E-2</v>
      </c>
      <c r="W27" s="2"/>
      <c r="X27" s="6">
        <f t="shared" si="18"/>
        <v>197.96520376922854</v>
      </c>
      <c r="Y27" s="2"/>
      <c r="Z27" s="7">
        <f t="shared" si="19"/>
        <v>1.0892257791808271E-2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6">
        <v>4448.62</v>
      </c>
      <c r="E28" s="2"/>
      <c r="F28" s="7">
        <f t="shared" si="12"/>
        <v>4.128299464899219E-2</v>
      </c>
      <c r="G28" s="2"/>
      <c r="H28" s="6">
        <v>2606.2998934500001</v>
      </c>
      <c r="I28" s="2"/>
      <c r="J28" s="7">
        <f t="shared" si="13"/>
        <v>1.5629890636038167E-2</v>
      </c>
      <c r="K28" s="2"/>
      <c r="L28" s="6">
        <f t="shared" si="14"/>
        <v>1842.3201065499998</v>
      </c>
      <c r="M28" s="2"/>
      <c r="N28" s="7">
        <f t="shared" si="15"/>
        <v>0.70687188039258664</v>
      </c>
      <c r="O28" s="11"/>
      <c r="P28" s="6">
        <v>12742.13</v>
      </c>
      <c r="Q28" s="2"/>
      <c r="R28" s="7">
        <f t="shared" si="16"/>
        <v>2.4150256808504293E-2</v>
      </c>
      <c r="S28" s="2"/>
      <c r="T28" s="6">
        <v>13278.778708799999</v>
      </c>
      <c r="U28" s="2"/>
      <c r="V28" s="7">
        <f t="shared" si="17"/>
        <v>1.9494045854565153E-2</v>
      </c>
      <c r="W28" s="2"/>
      <c r="X28" s="6">
        <f t="shared" si="18"/>
        <v>-536.64870879999944</v>
      </c>
      <c r="Y28" s="2"/>
      <c r="Z28" s="7">
        <f t="shared" si="19"/>
        <v>-4.0414010999698054E-2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6">
        <v>17824.95</v>
      </c>
      <c r="E29" s="2"/>
      <c r="F29" s="7">
        <f t="shared" si="12"/>
        <v>0.16541473883329061</v>
      </c>
      <c r="G29" s="2"/>
      <c r="H29" s="6">
        <v>19569.615384615401</v>
      </c>
      <c r="I29" s="2"/>
      <c r="J29" s="7">
        <f t="shared" si="13"/>
        <v>0.11735830900333671</v>
      </c>
      <c r="K29" s="2"/>
      <c r="L29" s="6">
        <f t="shared" si="14"/>
        <v>-1744.6653846154004</v>
      </c>
      <c r="M29" s="2"/>
      <c r="N29" s="7">
        <f t="shared" si="15"/>
        <v>-8.9151746231403414E-2</v>
      </c>
      <c r="O29" s="11"/>
      <c r="P29" s="6">
        <v>85178.85</v>
      </c>
      <c r="Q29" s="2"/>
      <c r="R29" s="7">
        <f t="shared" si="16"/>
        <v>0.1614401283108135</v>
      </c>
      <c r="S29" s="2"/>
      <c r="T29" s="6">
        <v>103970.3846153846</v>
      </c>
      <c r="U29" s="2"/>
      <c r="V29" s="7">
        <f t="shared" si="17"/>
        <v>0.15263477836752387</v>
      </c>
      <c r="W29" s="2"/>
      <c r="X29" s="6">
        <f t="shared" si="18"/>
        <v>-18791.534615384589</v>
      </c>
      <c r="Y29" s="2"/>
      <c r="Z29" s="7">
        <f t="shared" si="19"/>
        <v>-0.18073930076242103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269.61</v>
      </c>
      <c r="E30" s="2"/>
      <c r="F30" s="7">
        <f t="shared" si="12"/>
        <v>2.5019687425122364E-3</v>
      </c>
      <c r="G30" s="2"/>
      <c r="H30" s="6">
        <v>157.95756929999999</v>
      </c>
      <c r="I30" s="2"/>
      <c r="J30" s="7">
        <f t="shared" si="13"/>
        <v>9.4726609915382805E-4</v>
      </c>
      <c r="K30" s="2"/>
      <c r="L30" s="6">
        <f t="shared" si="14"/>
        <v>111.65243070000002</v>
      </c>
      <c r="M30" s="2"/>
      <c r="N30" s="7">
        <f t="shared" si="15"/>
        <v>0.70685077767906646</v>
      </c>
      <c r="O30" s="11"/>
      <c r="P30" s="6">
        <v>844.37</v>
      </c>
      <c r="Q30" s="2"/>
      <c r="R30" s="7">
        <f t="shared" si="16"/>
        <v>1.6003409431073745E-3</v>
      </c>
      <c r="S30" s="2"/>
      <c r="T30" s="6">
        <v>804.7744672</v>
      </c>
      <c r="U30" s="2"/>
      <c r="V30" s="7">
        <f t="shared" si="17"/>
        <v>1.1814573245191003E-3</v>
      </c>
      <c r="W30" s="2"/>
      <c r="X30" s="6">
        <f t="shared" si="18"/>
        <v>39.595532800000001</v>
      </c>
      <c r="Y30" s="2"/>
      <c r="Z30" s="7">
        <f t="shared" si="19"/>
        <v>4.9200781602530441E-2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6">
        <v>1757.2</v>
      </c>
      <c r="E31" s="2"/>
      <c r="F31" s="7">
        <f t="shared" si="12"/>
        <v>1.6306737414571053E-2</v>
      </c>
      <c r="G31" s="2"/>
      <c r="H31" s="6">
        <v>1778.4998461538501</v>
      </c>
      <c r="I31" s="2"/>
      <c r="J31" s="7">
        <f t="shared" si="13"/>
        <v>1.0665602282168323E-2</v>
      </c>
      <c r="K31" s="2"/>
      <c r="L31" s="6">
        <f t="shared" si="14"/>
        <v>-21.299846153850012</v>
      </c>
      <c r="M31" s="2"/>
      <c r="N31" s="7">
        <f t="shared" si="15"/>
        <v>-1.1976299126430995E-2</v>
      </c>
      <c r="O31" s="11"/>
      <c r="P31" s="6">
        <v>8082.81</v>
      </c>
      <c r="Q31" s="2"/>
      <c r="R31" s="7">
        <f t="shared" si="16"/>
        <v>1.5319411843572982E-2</v>
      </c>
      <c r="S31" s="2"/>
      <c r="T31" s="6">
        <v>9781.7491538461709</v>
      </c>
      <c r="U31" s="2"/>
      <c r="V31" s="7">
        <f t="shared" si="17"/>
        <v>1.4360196123801763E-2</v>
      </c>
      <c r="W31" s="2"/>
      <c r="X31" s="6">
        <f t="shared" si="18"/>
        <v>-1698.9391538461705</v>
      </c>
      <c r="Y31" s="2"/>
      <c r="Z31" s="7">
        <f t="shared" si="19"/>
        <v>-0.17368459639737846</v>
      </c>
    </row>
    <row r="32" spans="1:26" s="24" customFormat="1" hidden="1" outlineLevel="2" x14ac:dyDescent="0.25">
      <c r="A32" s="28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8"/>
      <c r="B33" s="11" t="str">
        <f>CONCATENATE("          ", "6117", " - ", "RETIREMENT STAFF HOURLY")</f>
        <v xml:space="preserve">          6117 - RETIREMENT STAFF HOURLY</v>
      </c>
      <c r="C33" s="11"/>
      <c r="D33" s="6">
        <v>465.32</v>
      </c>
      <c r="E33" s="2"/>
      <c r="F33" s="7">
        <f t="shared" si="12"/>
        <v>4.3181487899773517E-3</v>
      </c>
      <c r="G33" s="2"/>
      <c r="H33" s="6"/>
      <c r="I33" s="2"/>
      <c r="J33" s="7">
        <f t="shared" si="13"/>
        <v>0</v>
      </c>
      <c r="K33" s="2"/>
      <c r="L33" s="6">
        <f t="shared" si="14"/>
        <v>465.32</v>
      </c>
      <c r="M33" s="2"/>
      <c r="N33" s="7">
        <f t="shared" si="15"/>
        <v>0</v>
      </c>
      <c r="O33" s="11"/>
      <c r="P33" s="6">
        <v>2767.59</v>
      </c>
      <c r="Q33" s="2"/>
      <c r="R33" s="7">
        <f t="shared" si="16"/>
        <v>5.24543457339145E-3</v>
      </c>
      <c r="S33" s="2"/>
      <c r="T33" s="6"/>
      <c r="U33" s="2"/>
      <c r="V33" s="7">
        <f t="shared" si="17"/>
        <v>0</v>
      </c>
      <c r="W33" s="2"/>
      <c r="X33" s="6">
        <f t="shared" si="18"/>
        <v>2767.59</v>
      </c>
      <c r="Y33" s="2"/>
      <c r="Z33" s="7">
        <f t="shared" si="19"/>
        <v>0</v>
      </c>
    </row>
    <row r="34" spans="1:26" s="24" customFormat="1" hidden="1" outlineLevel="2" x14ac:dyDescent="0.25">
      <c r="A34" s="28"/>
      <c r="B34" s="11" t="str">
        <f>CONCATENATE("          ", "6118", " - ", "VACATION")</f>
        <v xml:space="preserve">          6118 - VACATION</v>
      </c>
      <c r="C34" s="11"/>
      <c r="D34" s="6">
        <v>2606.96</v>
      </c>
      <c r="E34" s="2"/>
      <c r="F34" s="7">
        <f t="shared" si="12"/>
        <v>2.4192472211637919E-2</v>
      </c>
      <c r="G34" s="2"/>
      <c r="H34" s="6">
        <v>3283.8667692307704</v>
      </c>
      <c r="I34" s="2"/>
      <c r="J34" s="7">
        <f t="shared" si="13"/>
        <v>1.969323583805057E-2</v>
      </c>
      <c r="K34" s="2"/>
      <c r="L34" s="6">
        <f t="shared" si="14"/>
        <v>-676.90676923077035</v>
      </c>
      <c r="M34" s="2"/>
      <c r="N34" s="7">
        <f t="shared" si="15"/>
        <v>-0.20613100859427755</v>
      </c>
      <c r="O34" s="11"/>
      <c r="P34" s="6">
        <v>13425.98</v>
      </c>
      <c r="Q34" s="2"/>
      <c r="R34" s="7">
        <f t="shared" si="16"/>
        <v>2.5446362963322651E-2</v>
      </c>
      <c r="S34" s="2"/>
      <c r="T34" s="6">
        <v>18061.26723076923</v>
      </c>
      <c r="U34" s="2"/>
      <c r="V34" s="7">
        <f t="shared" si="17"/>
        <v>2.6515026668441889E-2</v>
      </c>
      <c r="W34" s="2"/>
      <c r="X34" s="6">
        <f t="shared" si="18"/>
        <v>-4635.2872307692305</v>
      </c>
      <c r="Y34" s="2"/>
      <c r="Z34" s="7">
        <f t="shared" si="19"/>
        <v>-0.25664241448532144</v>
      </c>
    </row>
    <row r="35" spans="1:26" s="24" customFormat="1" hidden="1" outlineLevel="2" x14ac:dyDescent="0.25">
      <c r="A35" s="28"/>
      <c r="B35" s="11" t="str">
        <f>CONCATENATE("          ", "6119", " - ", "SICK LEAVE")</f>
        <v xml:space="preserve">          6119 - SICK LEAVE</v>
      </c>
      <c r="C35" s="11"/>
      <c r="D35" s="6">
        <v>1633.22</v>
      </c>
      <c r="E35" s="2"/>
      <c r="F35" s="7">
        <f t="shared" si="12"/>
        <v>1.5156208559199712E-2</v>
      </c>
      <c r="G35" s="2"/>
      <c r="H35" s="6">
        <v>2651.4879534615402</v>
      </c>
      <c r="I35" s="2"/>
      <c r="J35" s="7">
        <f t="shared" si="13"/>
        <v>1.5900881874540723E-2</v>
      </c>
      <c r="K35" s="2"/>
      <c r="L35" s="6">
        <f t="shared" si="14"/>
        <v>-1018.2679534615402</v>
      </c>
      <c r="M35" s="2"/>
      <c r="N35" s="7">
        <f t="shared" si="15"/>
        <v>-0.38403642457895487</v>
      </c>
      <c r="O35" s="11"/>
      <c r="P35" s="6">
        <v>8432.5400000000009</v>
      </c>
      <c r="Q35" s="2"/>
      <c r="R35" s="7">
        <f t="shared" si="16"/>
        <v>1.5982257797400028E-2</v>
      </c>
      <c r="S35" s="2"/>
      <c r="T35" s="6">
        <v>13844.81262153846</v>
      </c>
      <c r="U35" s="2"/>
      <c r="V35" s="7">
        <f t="shared" si="17"/>
        <v>2.0325017685043051E-2</v>
      </c>
      <c r="W35" s="2"/>
      <c r="X35" s="6">
        <f t="shared" si="18"/>
        <v>-5412.2726215384591</v>
      </c>
      <c r="Y35" s="2"/>
      <c r="Z35" s="7">
        <f t="shared" si="19"/>
        <v>-0.39092422335269122</v>
      </c>
    </row>
    <row r="36" spans="1:26" s="24" customFormat="1" hidden="1" outlineLevel="2" x14ac:dyDescent="0.25">
      <c r="A36" s="28"/>
      <c r="B36" s="11" t="str">
        <f>CONCATENATE("          ", "6156", " - ", "EMPLOYEE MEALS")</f>
        <v xml:space="preserve">          6156 - EMPLOYEE MEALS</v>
      </c>
      <c r="C36" s="11"/>
      <c r="D36" s="6">
        <v>941.67</v>
      </c>
      <c r="E36" s="2"/>
      <c r="F36" s="7">
        <f t="shared" si="12"/>
        <v>8.7386554866714788E-3</v>
      </c>
      <c r="G36" s="2"/>
      <c r="H36" s="6">
        <v>1925</v>
      </c>
      <c r="I36" s="2"/>
      <c r="J36" s="7">
        <f t="shared" si="13"/>
        <v>1.1544158655720206E-2</v>
      </c>
      <c r="K36" s="2"/>
      <c r="L36" s="6">
        <f t="shared" si="14"/>
        <v>-983.33</v>
      </c>
      <c r="M36" s="2"/>
      <c r="N36" s="7">
        <f t="shared" si="15"/>
        <v>-0.51082077922077929</v>
      </c>
      <c r="O36" s="11"/>
      <c r="P36" s="6">
        <v>4235.07</v>
      </c>
      <c r="Q36" s="2"/>
      <c r="R36" s="7">
        <f t="shared" si="16"/>
        <v>8.0267606830249152E-3</v>
      </c>
      <c r="S36" s="2"/>
      <c r="T36" s="6">
        <v>9625</v>
      </c>
      <c r="U36" s="2"/>
      <c r="V36" s="7">
        <f t="shared" si="17"/>
        <v>1.413007893759423E-2</v>
      </c>
      <c r="W36" s="2"/>
      <c r="X36" s="6">
        <f t="shared" si="18"/>
        <v>-5389.93</v>
      </c>
      <c r="Y36" s="2"/>
      <c r="Z36" s="7">
        <f t="shared" si="19"/>
        <v>-0.55999272727272731</v>
      </c>
    </row>
    <row r="37" spans="1:26" s="29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57552.079999999994</v>
      </c>
      <c r="E37" s="1"/>
      <c r="F37" s="5">
        <f t="shared" ref="F37:F47" si="20">IF(D$12=0,0,D37/D$12)</f>
        <v>0.53408072855815292</v>
      </c>
      <c r="G37" s="1"/>
      <c r="H37" s="1">
        <f>SUM(OSRRefH22_1x_0)</f>
        <v>54817.556546538501</v>
      </c>
      <c r="I37" s="1"/>
      <c r="J37" s="5">
        <f t="shared" ref="J37:J47" si="21">IF(H$12=0,0,H37/H$12)</f>
        <v>0.32873899734657364</v>
      </c>
      <c r="K37" s="1"/>
      <c r="L37" s="1">
        <f t="shared" ref="L37:L47" si="22">+D37-H37</f>
        <v>2734.5234534614938</v>
      </c>
      <c r="M37" s="1"/>
      <c r="N37" s="5">
        <f t="shared" ref="N37:N47" si="23">IF(H37=0,0,L37/H37)</f>
        <v>4.9884081409939593E-2</v>
      </c>
      <c r="O37" s="14"/>
      <c r="P37" s="1">
        <f>SUM(OSRRefP22_1x_0)</f>
        <v>278874.39999999997</v>
      </c>
      <c r="Q37" s="1"/>
      <c r="R37" s="5">
        <f t="shared" ref="R37:R47" si="24">IF(P$12=0,0,P37/P$12)</f>
        <v>0.5285527911987673</v>
      </c>
      <c r="S37" s="1"/>
      <c r="T37" s="1">
        <f>SUM(OSRRefT22_1x_0)</f>
        <v>277622.56137846166</v>
      </c>
      <c r="U37" s="1"/>
      <c r="V37" s="5">
        <f t="shared" ref="V37:V47" si="25">IF(T$12=0,0,T37/T$12)</f>
        <v>0.40756661892309221</v>
      </c>
      <c r="W37" s="1"/>
      <c r="X37" s="1">
        <f t="shared" ref="X37:X47" si="26">+P37-T37</f>
        <v>1251.8386215383071</v>
      </c>
      <c r="Y37" s="1"/>
      <c r="Z37" s="5">
        <f t="shared" ref="Z37:Z47" si="27">IF(T37=0,0,X37/T37)</f>
        <v>4.5091386496927061E-3</v>
      </c>
    </row>
    <row r="38" spans="1:26" s="24" customFormat="1" hidden="1" outlineLevel="2" x14ac:dyDescent="0.25">
      <c r="A38" s="28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6">
        <v>10950.96</v>
      </c>
      <c r="E39" s="2"/>
      <c r="F39" s="7">
        <f t="shared" si="20"/>
        <v>0.1016244190515997</v>
      </c>
      <c r="G39" s="2"/>
      <c r="H39" s="6">
        <v>17815.8884615385</v>
      </c>
      <c r="I39" s="2"/>
      <c r="J39" s="7">
        <f t="shared" si="21"/>
        <v>0.10684126908707293</v>
      </c>
      <c r="K39" s="2"/>
      <c r="L39" s="6">
        <f t="shared" si="22"/>
        <v>-6864.9284615385004</v>
      </c>
      <c r="M39" s="2"/>
      <c r="N39" s="7">
        <f t="shared" si="23"/>
        <v>-0.38532619219966063</v>
      </c>
      <c r="O39" s="11"/>
      <c r="P39" s="6">
        <v>73744.070000000007</v>
      </c>
      <c r="Q39" s="2"/>
      <c r="R39" s="7">
        <f t="shared" si="24"/>
        <v>0.13976770199364763</v>
      </c>
      <c r="S39" s="2"/>
      <c r="T39" s="6">
        <v>97987.386538461709</v>
      </c>
      <c r="U39" s="2"/>
      <c r="V39" s="7">
        <f t="shared" si="25"/>
        <v>0.14385137731709322</v>
      </c>
      <c r="W39" s="2"/>
      <c r="X39" s="6">
        <f t="shared" si="26"/>
        <v>-24243.316538461702</v>
      </c>
      <c r="Y39" s="2"/>
      <c r="Z39" s="7">
        <f t="shared" si="27"/>
        <v>-0.24741262518462812</v>
      </c>
    </row>
    <row r="40" spans="1:26" s="24" customFormat="1" hidden="1" outlineLevel="2" x14ac:dyDescent="0.25">
      <c r="A40" s="28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8"/>
      <c r="B41" s="11" t="str">
        <f>CONCATENATE("          ", "6004", " - ", "STAFF HOURLY")</f>
        <v xml:space="preserve">          6004 - STAFF HOURLY</v>
      </c>
      <c r="C41" s="11"/>
      <c r="D41" s="6">
        <v>16729.489999999998</v>
      </c>
      <c r="E41" s="2"/>
      <c r="F41" s="7">
        <f t="shared" si="20"/>
        <v>0.15524891902440943</v>
      </c>
      <c r="G41" s="2"/>
      <c r="H41" s="6">
        <v>18273.024000000001</v>
      </c>
      <c r="I41" s="2"/>
      <c r="J41" s="7">
        <f t="shared" si="21"/>
        <v>0.10958269515625095</v>
      </c>
      <c r="K41" s="2"/>
      <c r="L41" s="6">
        <f t="shared" si="22"/>
        <v>-1543.5340000000033</v>
      </c>
      <c r="M41" s="2"/>
      <c r="N41" s="7">
        <f t="shared" si="23"/>
        <v>-8.4470638247944249E-2</v>
      </c>
      <c r="O41" s="11"/>
      <c r="P41" s="6">
        <v>86583.42</v>
      </c>
      <c r="Q41" s="2"/>
      <c r="R41" s="7">
        <f t="shared" si="24"/>
        <v>0.16410222061449592</v>
      </c>
      <c r="S41" s="2"/>
      <c r="T41" s="6">
        <v>100501.632</v>
      </c>
      <c r="U41" s="2"/>
      <c r="V41" s="7">
        <f t="shared" si="25"/>
        <v>0.14754244088488794</v>
      </c>
      <c r="W41" s="2"/>
      <c r="X41" s="6">
        <f t="shared" si="26"/>
        <v>-13918.212</v>
      </c>
      <c r="Y41" s="2"/>
      <c r="Z41" s="7">
        <f t="shared" si="27"/>
        <v>-0.13848742277140336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6">
        <v>12819.28</v>
      </c>
      <c r="E42" s="2"/>
      <c r="F42" s="7">
        <f t="shared" si="20"/>
        <v>0.11896234509666652</v>
      </c>
      <c r="G42" s="2"/>
      <c r="H42" s="6">
        <v>5978.9640850000005</v>
      </c>
      <c r="I42" s="2"/>
      <c r="J42" s="7">
        <f t="shared" si="21"/>
        <v>3.5855641555372984E-2</v>
      </c>
      <c r="K42" s="2"/>
      <c r="L42" s="6">
        <f t="shared" si="22"/>
        <v>6840.3159150000001</v>
      </c>
      <c r="M42" s="2"/>
      <c r="N42" s="7">
        <f t="shared" si="23"/>
        <v>1.1440637237077498</v>
      </c>
      <c r="O42" s="11"/>
      <c r="P42" s="6">
        <v>50543.09</v>
      </c>
      <c r="Q42" s="2"/>
      <c r="R42" s="7">
        <f t="shared" si="24"/>
        <v>9.5794706489052084E-2</v>
      </c>
      <c r="S42" s="2"/>
      <c r="T42" s="6">
        <v>23830.932839999998</v>
      </c>
      <c r="U42" s="2"/>
      <c r="V42" s="7">
        <f t="shared" si="25"/>
        <v>3.4985242824489005E-2</v>
      </c>
      <c r="W42" s="2"/>
      <c r="X42" s="6">
        <f t="shared" si="26"/>
        <v>26712.157159999999</v>
      </c>
      <c r="Y42" s="2"/>
      <c r="Z42" s="7">
        <f t="shared" si="27"/>
        <v>1.1209027082298639</v>
      </c>
    </row>
    <row r="43" spans="1:26" s="24" customFormat="1" hidden="1" outlineLevel="2" x14ac:dyDescent="0.25">
      <c r="A43" s="28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6">
        <v>15212.46</v>
      </c>
      <c r="E44" s="2"/>
      <c r="F44" s="7">
        <f t="shared" si="20"/>
        <v>0.14117094846896514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15212.46</v>
      </c>
      <c r="M44" s="2"/>
      <c r="N44" s="7">
        <f t="shared" si="23"/>
        <v>0</v>
      </c>
      <c r="O44" s="11"/>
      <c r="P44" s="6">
        <v>58468.97</v>
      </c>
      <c r="Q44" s="2"/>
      <c r="R44" s="7">
        <f t="shared" si="24"/>
        <v>0.11081668769889597</v>
      </c>
      <c r="S44" s="2"/>
      <c r="T44" s="6">
        <v>9252.83</v>
      </c>
      <c r="U44" s="2"/>
      <c r="V44" s="7">
        <f t="shared" si="25"/>
        <v>1.3583710991806755E-2</v>
      </c>
      <c r="W44" s="2"/>
      <c r="X44" s="6">
        <f t="shared" si="26"/>
        <v>49216.14</v>
      </c>
      <c r="Y44" s="2"/>
      <c r="Z44" s="7">
        <f t="shared" si="27"/>
        <v>5.3190364461467468</v>
      </c>
    </row>
    <row r="45" spans="1:26" s="24" customFormat="1" hidden="1" outlineLevel="2" x14ac:dyDescent="0.25">
      <c r="A45" s="28"/>
      <c r="B45" s="11" t="str">
        <f>CONCATENATE("          ", "6008", " - ", "STUDENT HOURLY-FICA EXEMPT")</f>
        <v xml:space="preserve">          6008 - STUDENT HOURLY-FICA EXEMPT</v>
      </c>
      <c r="C45" s="11"/>
      <c r="D45" s="6">
        <v>1839.89</v>
      </c>
      <c r="E45" s="2"/>
      <c r="F45" s="7">
        <f t="shared" si="20"/>
        <v>1.7074096916512141E-2</v>
      </c>
      <c r="G45" s="2"/>
      <c r="H45" s="6">
        <v>12749.68</v>
      </c>
      <c r="I45" s="2"/>
      <c r="J45" s="7">
        <f t="shared" si="21"/>
        <v>7.6459391547876773E-2</v>
      </c>
      <c r="K45" s="2"/>
      <c r="L45" s="6">
        <f t="shared" si="22"/>
        <v>-10909.79</v>
      </c>
      <c r="M45" s="2"/>
      <c r="N45" s="7">
        <f t="shared" si="23"/>
        <v>-0.85569128009487305</v>
      </c>
      <c r="O45" s="11"/>
      <c r="P45" s="6">
        <v>9534.85</v>
      </c>
      <c r="Q45" s="2"/>
      <c r="R45" s="7">
        <f t="shared" si="24"/>
        <v>1.8071474402675782E-2</v>
      </c>
      <c r="S45" s="2"/>
      <c r="T45" s="6">
        <v>46049.78</v>
      </c>
      <c r="U45" s="2"/>
      <c r="V45" s="7">
        <f t="shared" si="25"/>
        <v>6.7603846904815384E-2</v>
      </c>
      <c r="W45" s="2"/>
      <c r="X45" s="6">
        <f t="shared" si="26"/>
        <v>-36514.93</v>
      </c>
      <c r="Y45" s="2"/>
      <c r="Z45" s="7">
        <f t="shared" si="27"/>
        <v>-0.79294472199432875</v>
      </c>
    </row>
    <row r="46" spans="1:26" s="24" customFormat="1" hidden="1" outlineLevel="2" x14ac:dyDescent="0.25">
      <c r="A46" s="28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8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0" si="28">IF(D$12=0,0,D48/D$12)</f>
        <v>0</v>
      </c>
      <c r="G48" s="1"/>
      <c r="H48" s="1">
        <f>SUM(OSRRefH22_2x_0)</f>
        <v>369</v>
      </c>
      <c r="I48" s="1"/>
      <c r="J48" s="5">
        <f t="shared" ref="J48:J70" si="29">IF(H$12=0,0,H48/H$12)</f>
        <v>2.212880282577016E-3</v>
      </c>
      <c r="K48" s="1"/>
      <c r="L48" s="1">
        <f t="shared" ref="L48:L70" si="30">+D48-H48</f>
        <v>-369</v>
      </c>
      <c r="M48" s="1"/>
      <c r="N48" s="5">
        <f t="shared" ref="N48:N70" si="31">IF(H48=0,0,L48/H48)</f>
        <v>-1</v>
      </c>
      <c r="O48" s="14"/>
      <c r="P48" s="1">
        <f>SUM(OSRRefP22_2x_0)</f>
        <v>1224.25</v>
      </c>
      <c r="Q48" s="1"/>
      <c r="R48" s="5">
        <f t="shared" ref="R48:R70" si="32">IF(P$12=0,0,P48/P$12)</f>
        <v>2.3203304233916449E-3</v>
      </c>
      <c r="S48" s="1"/>
      <c r="T48" s="1">
        <f>SUM(OSRRefT22_2x_0)</f>
        <v>1845</v>
      </c>
      <c r="U48" s="1"/>
      <c r="V48" s="5">
        <f t="shared" ref="V48:V70" si="33">IF(T$12=0,0,T48/T$12)</f>
        <v>2.708570975570011E-3</v>
      </c>
      <c r="W48" s="1"/>
      <c r="X48" s="1">
        <f t="shared" ref="X48:X70" si="34">+P48-T48</f>
        <v>-620.75</v>
      </c>
      <c r="Y48" s="1"/>
      <c r="Z48" s="5">
        <f t="shared" ref="Z48:Z70" si="35">IF(T48=0,0,X48/T48)</f>
        <v>-0.336449864498645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369</v>
      </c>
      <c r="I49" s="2"/>
      <c r="J49" s="7">
        <f t="shared" si="29"/>
        <v>2.212880282577016E-3</v>
      </c>
      <c r="K49" s="2"/>
      <c r="L49" s="6">
        <f t="shared" si="30"/>
        <v>-369</v>
      </c>
      <c r="M49" s="2"/>
      <c r="N49" s="7">
        <f t="shared" si="31"/>
        <v>-1</v>
      </c>
      <c r="O49" s="11"/>
      <c r="P49" s="6">
        <v>1224.25</v>
      </c>
      <c r="Q49" s="2"/>
      <c r="R49" s="7">
        <f t="shared" si="32"/>
        <v>2.3203304233916449E-3</v>
      </c>
      <c r="S49" s="2"/>
      <c r="T49" s="6">
        <v>1845</v>
      </c>
      <c r="U49" s="2"/>
      <c r="V49" s="7">
        <f t="shared" si="33"/>
        <v>2.708570975570011E-3</v>
      </c>
      <c r="W49" s="2"/>
      <c r="X49" s="6">
        <f t="shared" si="34"/>
        <v>-620.75</v>
      </c>
      <c r="Y49" s="2"/>
      <c r="Z49" s="7">
        <f t="shared" si="35"/>
        <v>-0.336449864498645</v>
      </c>
    </row>
    <row r="50" spans="1:26" s="29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4.797572428351254E-5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40</v>
      </c>
      <c r="Q50" s="1"/>
      <c r="R50" s="5">
        <f t="shared" si="32"/>
        <v>7.5812307074262446E-5</v>
      </c>
      <c r="S50" s="1"/>
      <c r="T50" s="1">
        <f>SUM(OSRRefT22_3x_0)</f>
        <v>32</v>
      </c>
      <c r="U50" s="1"/>
      <c r="V50" s="5">
        <f t="shared" si="33"/>
        <v>4.6977924779534066E-5</v>
      </c>
      <c r="W50" s="1"/>
      <c r="X50" s="1">
        <f t="shared" si="34"/>
        <v>8</v>
      </c>
      <c r="Y50" s="1"/>
      <c r="Z50" s="5">
        <f t="shared" si="35"/>
        <v>0.25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4.797572428351254E-5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>
        <v>40</v>
      </c>
      <c r="Q51" s="2"/>
      <c r="R51" s="7">
        <f t="shared" si="32"/>
        <v>7.5812307074262446E-5</v>
      </c>
      <c r="S51" s="2"/>
      <c r="T51" s="6">
        <v>32</v>
      </c>
      <c r="U51" s="2"/>
      <c r="V51" s="7">
        <f t="shared" si="33"/>
        <v>4.6977924779534066E-5</v>
      </c>
      <c r="W51" s="2"/>
      <c r="X51" s="6">
        <f t="shared" si="34"/>
        <v>8</v>
      </c>
      <c r="Y51" s="2"/>
      <c r="Z51" s="7">
        <f t="shared" si="35"/>
        <v>0.25</v>
      </c>
    </row>
    <row r="52" spans="1:26" s="29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10.17</v>
      </c>
      <c r="E52" s="1"/>
      <c r="F52" s="5">
        <f t="shared" si="28"/>
        <v>9.437714517766196E-5</v>
      </c>
      <c r="G52" s="1"/>
      <c r="H52" s="1">
        <f>SUM(OSRRefH22_4x_0)</f>
        <v>135</v>
      </c>
      <c r="I52" s="1"/>
      <c r="J52" s="5">
        <f t="shared" si="29"/>
        <v>8.0959034728427415E-4</v>
      </c>
      <c r="K52" s="1"/>
      <c r="L52" s="1">
        <f t="shared" si="30"/>
        <v>-124.83</v>
      </c>
      <c r="M52" s="1"/>
      <c r="N52" s="5">
        <f t="shared" si="31"/>
        <v>-0.92466666666666664</v>
      </c>
      <c r="O52" s="14"/>
      <c r="P52" s="1">
        <f>SUM(OSRRefP22_4x_0)</f>
        <v>10.17</v>
      </c>
      <c r="Q52" s="1"/>
      <c r="R52" s="5">
        <f t="shared" si="32"/>
        <v>1.9275279073631226E-5</v>
      </c>
      <c r="S52" s="1"/>
      <c r="T52" s="1">
        <f>SUM(OSRRefT22_4x_0)</f>
        <v>675</v>
      </c>
      <c r="U52" s="1"/>
      <c r="V52" s="5">
        <f t="shared" si="33"/>
        <v>9.9094060081829664E-4</v>
      </c>
      <c r="W52" s="1"/>
      <c r="X52" s="1">
        <f t="shared" si="34"/>
        <v>-664.83</v>
      </c>
      <c r="Y52" s="1"/>
      <c r="Z52" s="5">
        <f t="shared" si="35"/>
        <v>-0.98493333333333344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6">
        <v>10.17</v>
      </c>
      <c r="E53" s="2"/>
      <c r="F53" s="7">
        <f t="shared" si="28"/>
        <v>9.437714517766196E-5</v>
      </c>
      <c r="G53" s="2"/>
      <c r="H53" s="6">
        <v>135</v>
      </c>
      <c r="I53" s="2"/>
      <c r="J53" s="7">
        <f t="shared" si="29"/>
        <v>8.0959034728427415E-4</v>
      </c>
      <c r="K53" s="2"/>
      <c r="L53" s="6">
        <f t="shared" si="30"/>
        <v>-124.83</v>
      </c>
      <c r="M53" s="2"/>
      <c r="N53" s="7">
        <f t="shared" si="31"/>
        <v>-0.92466666666666664</v>
      </c>
      <c r="O53" s="11"/>
      <c r="P53" s="6">
        <v>10.17</v>
      </c>
      <c r="Q53" s="2"/>
      <c r="R53" s="7">
        <f t="shared" si="32"/>
        <v>1.9275279073631226E-5</v>
      </c>
      <c r="S53" s="2"/>
      <c r="T53" s="6">
        <v>675</v>
      </c>
      <c r="U53" s="2"/>
      <c r="V53" s="7">
        <f t="shared" si="33"/>
        <v>9.9094060081829664E-4</v>
      </c>
      <c r="W53" s="2"/>
      <c r="X53" s="6">
        <f t="shared" si="34"/>
        <v>-664.83</v>
      </c>
      <c r="Y53" s="2"/>
      <c r="Z53" s="7">
        <f t="shared" si="35"/>
        <v>-0.98493333333333344</v>
      </c>
    </row>
    <row r="54" spans="1:26" s="29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8"/>
        <v>2.5310150025325E-3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4"/>
      <c r="P54" s="1">
        <f>SUM(OSRRefP22_5x_0)</f>
        <v>1099.48</v>
      </c>
      <c r="Q54" s="1"/>
      <c r="R54" s="5">
        <f t="shared" si="32"/>
        <v>2.0838528845502518E-3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1099.48</v>
      </c>
      <c r="Y54" s="1"/>
      <c r="Z54" s="5">
        <f t="shared" si="35"/>
        <v>0</v>
      </c>
    </row>
    <row r="55" spans="1:26" s="24" customFormat="1" hidden="1" outlineLevel="2" x14ac:dyDescent="0.25">
      <c r="A55" s="28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272.74</v>
      </c>
      <c r="E55" s="2"/>
      <c r="F55" s="7">
        <f t="shared" si="28"/>
        <v>2.5310150025325E-3</v>
      </c>
      <c r="G55" s="2"/>
      <c r="H55" s="6"/>
      <c r="I55" s="2"/>
      <c r="J55" s="7">
        <f t="shared" si="29"/>
        <v>0</v>
      </c>
      <c r="K55" s="2"/>
      <c r="L55" s="6">
        <f t="shared" si="30"/>
        <v>272.74</v>
      </c>
      <c r="M55" s="2"/>
      <c r="N55" s="7">
        <f t="shared" si="31"/>
        <v>0</v>
      </c>
      <c r="O55" s="11"/>
      <c r="P55" s="6">
        <v>1099.48</v>
      </c>
      <c r="Q55" s="2"/>
      <c r="R55" s="7">
        <f t="shared" si="32"/>
        <v>2.0838528845502518E-3</v>
      </c>
      <c r="S55" s="2"/>
      <c r="T55" s="6"/>
      <c r="U55" s="2"/>
      <c r="V55" s="7">
        <f t="shared" si="33"/>
        <v>0</v>
      </c>
      <c r="W55" s="2"/>
      <c r="X55" s="6">
        <f t="shared" si="34"/>
        <v>1099.48</v>
      </c>
      <c r="Y55" s="2"/>
      <c r="Z55" s="7">
        <f t="shared" si="35"/>
        <v>0</v>
      </c>
    </row>
    <row r="56" spans="1:26" s="29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7935.78</v>
      </c>
      <c r="E56" s="1"/>
      <c r="F56" s="5">
        <f t="shared" si="28"/>
        <v>7.3643683496360496E-2</v>
      </c>
      <c r="G56" s="1"/>
      <c r="H56" s="1">
        <f>SUM(OSRRefH22_6x_0)</f>
        <v>4100</v>
      </c>
      <c r="I56" s="1"/>
      <c r="J56" s="5">
        <f t="shared" si="29"/>
        <v>2.4587558695300177E-2</v>
      </c>
      <c r="K56" s="1"/>
      <c r="L56" s="1">
        <f t="shared" si="30"/>
        <v>3835.7799999999997</v>
      </c>
      <c r="M56" s="1"/>
      <c r="N56" s="5">
        <f t="shared" si="31"/>
        <v>0.93555609756097557</v>
      </c>
      <c r="O56" s="14"/>
      <c r="P56" s="1">
        <f>SUM(OSRRefP22_6x_0)</f>
        <v>30155.96</v>
      </c>
      <c r="Q56" s="1"/>
      <c r="R56" s="5">
        <f t="shared" si="32"/>
        <v>5.7154822490979383E-2</v>
      </c>
      <c r="S56" s="1"/>
      <c r="T56" s="1">
        <f>SUM(OSRRefT22_6x_0)</f>
        <v>14400</v>
      </c>
      <c r="U56" s="1"/>
      <c r="V56" s="5">
        <f t="shared" si="33"/>
        <v>2.1140066150790331E-2</v>
      </c>
      <c r="W56" s="1"/>
      <c r="X56" s="1">
        <f t="shared" si="34"/>
        <v>15755.96</v>
      </c>
      <c r="Y56" s="1"/>
      <c r="Z56" s="5">
        <f t="shared" si="35"/>
        <v>1.0941638888888889</v>
      </c>
    </row>
    <row r="57" spans="1:26" s="24" customFormat="1" hidden="1" outlineLevel="2" x14ac:dyDescent="0.25">
      <c r="A57" s="28"/>
      <c r="B57" s="11" t="str">
        <f>CONCATENATE("          ", "6399", " - ", "DONATION-ON CAMPUS")</f>
        <v xml:space="preserve">          6399 - DONATION-ON CAMPUS</v>
      </c>
      <c r="C57" s="11"/>
      <c r="D57" s="6">
        <v>7935.78</v>
      </c>
      <c r="E57" s="2"/>
      <c r="F57" s="7">
        <f t="shared" si="28"/>
        <v>7.3643683496360496E-2</v>
      </c>
      <c r="G57" s="2"/>
      <c r="H57" s="6">
        <v>4100</v>
      </c>
      <c r="I57" s="2"/>
      <c r="J57" s="7">
        <f t="shared" si="29"/>
        <v>2.4587558695300177E-2</v>
      </c>
      <c r="K57" s="2"/>
      <c r="L57" s="6">
        <f t="shared" si="30"/>
        <v>3835.7799999999997</v>
      </c>
      <c r="M57" s="2"/>
      <c r="N57" s="7">
        <f t="shared" si="31"/>
        <v>0.93555609756097557</v>
      </c>
      <c r="O57" s="11"/>
      <c r="P57" s="6">
        <v>30155.96</v>
      </c>
      <c r="Q57" s="2"/>
      <c r="R57" s="7">
        <f t="shared" si="32"/>
        <v>5.7154822490979383E-2</v>
      </c>
      <c r="S57" s="2"/>
      <c r="T57" s="6">
        <v>14400</v>
      </c>
      <c r="U57" s="2"/>
      <c r="V57" s="7">
        <f t="shared" si="33"/>
        <v>2.1140066150790331E-2</v>
      </c>
      <c r="W57" s="2"/>
      <c r="X57" s="6">
        <f t="shared" si="34"/>
        <v>15755.96</v>
      </c>
      <c r="Y57" s="2"/>
      <c r="Z57" s="7">
        <f t="shared" si="35"/>
        <v>1.0941638888888889</v>
      </c>
    </row>
    <row r="58" spans="1:26" s="29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8.9954483031586018E-4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600</v>
      </c>
      <c r="U58" s="1"/>
      <c r="V58" s="5">
        <f t="shared" si="33"/>
        <v>8.808360896162637E-4</v>
      </c>
      <c r="W58" s="1"/>
      <c r="X58" s="1">
        <f t="shared" si="34"/>
        <v>-600</v>
      </c>
      <c r="Y58" s="1"/>
      <c r="Z58" s="5">
        <f t="shared" si="35"/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150</v>
      </c>
      <c r="I59" s="2"/>
      <c r="J59" s="7">
        <f t="shared" si="29"/>
        <v>8.9954483031586018E-4</v>
      </c>
      <c r="K59" s="2"/>
      <c r="L59" s="6">
        <f t="shared" si="30"/>
        <v>-150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600</v>
      </c>
      <c r="U59" s="2"/>
      <c r="V59" s="7">
        <f t="shared" si="33"/>
        <v>8.808360896162637E-4</v>
      </c>
      <c r="W59" s="2"/>
      <c r="X59" s="6">
        <f t="shared" si="34"/>
        <v>-600</v>
      </c>
      <c r="Y59" s="2"/>
      <c r="Z59" s="7">
        <f t="shared" si="35"/>
        <v>-1</v>
      </c>
    </row>
    <row r="60" spans="1:26" s="29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129.26</v>
      </c>
      <c r="E60" s="1"/>
      <c r="F60" s="5">
        <f t="shared" si="28"/>
        <v>1.1995270192393889E-3</v>
      </c>
      <c r="G60" s="1"/>
      <c r="H60" s="1">
        <f>SUM(OSRRefH22_8x_0)</f>
        <v>290</v>
      </c>
      <c r="I60" s="1"/>
      <c r="J60" s="5">
        <f t="shared" si="29"/>
        <v>1.7391200052773296E-3</v>
      </c>
      <c r="K60" s="1"/>
      <c r="L60" s="1">
        <f t="shared" si="30"/>
        <v>-160.74</v>
      </c>
      <c r="M60" s="1"/>
      <c r="N60" s="5">
        <f t="shared" si="31"/>
        <v>-0.55427586206896551</v>
      </c>
      <c r="O60" s="14"/>
      <c r="P60" s="1">
        <f>SUM(OSRRefP22_8x_0)</f>
        <v>1410.6</v>
      </c>
      <c r="Q60" s="1"/>
      <c r="R60" s="5">
        <f t="shared" si="32"/>
        <v>2.6735210089738649E-3</v>
      </c>
      <c r="S60" s="1"/>
      <c r="T60" s="1">
        <f>SUM(OSRRefT22_8x_0)</f>
        <v>1450</v>
      </c>
      <c r="U60" s="1"/>
      <c r="V60" s="5">
        <f t="shared" si="33"/>
        <v>2.1286872165726376E-3</v>
      </c>
      <c r="W60" s="1"/>
      <c r="X60" s="1">
        <f t="shared" si="34"/>
        <v>-39.400000000000091</v>
      </c>
      <c r="Y60" s="1"/>
      <c r="Z60" s="5">
        <f t="shared" si="35"/>
        <v>-2.7172413793103509E-2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6">
        <v>129.26</v>
      </c>
      <c r="E61" s="2"/>
      <c r="F61" s="7">
        <f t="shared" si="28"/>
        <v>1.1995270192393889E-3</v>
      </c>
      <c r="G61" s="2"/>
      <c r="H61" s="6">
        <v>290</v>
      </c>
      <c r="I61" s="2"/>
      <c r="J61" s="7">
        <f t="shared" si="29"/>
        <v>1.7391200052773296E-3</v>
      </c>
      <c r="K61" s="2"/>
      <c r="L61" s="6">
        <f t="shared" si="30"/>
        <v>-160.74</v>
      </c>
      <c r="M61" s="2"/>
      <c r="N61" s="7">
        <f t="shared" si="31"/>
        <v>-0.55427586206896551</v>
      </c>
      <c r="O61" s="11"/>
      <c r="P61" s="6">
        <v>1410.6</v>
      </c>
      <c r="Q61" s="2"/>
      <c r="R61" s="7">
        <f t="shared" si="32"/>
        <v>2.6735210089738649E-3</v>
      </c>
      <c r="S61" s="2"/>
      <c r="T61" s="6">
        <v>1450</v>
      </c>
      <c r="U61" s="2"/>
      <c r="V61" s="7">
        <f t="shared" si="33"/>
        <v>2.1286872165726376E-3</v>
      </c>
      <c r="W61" s="2"/>
      <c r="X61" s="6">
        <f t="shared" si="34"/>
        <v>-39.400000000000091</v>
      </c>
      <c r="Y61" s="2"/>
      <c r="Z61" s="7">
        <f t="shared" si="35"/>
        <v>-2.7172413793103509E-2</v>
      </c>
    </row>
    <row r="62" spans="1:26" s="29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1.6191806945685483E-3</v>
      </c>
      <c r="K62" s="1"/>
      <c r="L62" s="1">
        <f t="shared" si="30"/>
        <v>-270</v>
      </c>
      <c r="M62" s="1"/>
      <c r="N62" s="5">
        <f t="shared" si="31"/>
        <v>-1</v>
      </c>
      <c r="O62" s="14"/>
      <c r="P62" s="1">
        <f>SUM(OSRRefP22_9x_0)</f>
        <v>1439.55</v>
      </c>
      <c r="Q62" s="1"/>
      <c r="R62" s="5">
        <f t="shared" si="32"/>
        <v>2.7283901662188627E-3</v>
      </c>
      <c r="S62" s="1"/>
      <c r="T62" s="1">
        <f>SUM(OSRRefT22_9x_0)</f>
        <v>2830</v>
      </c>
      <c r="U62" s="1"/>
      <c r="V62" s="5">
        <f t="shared" si="33"/>
        <v>4.1546102226900439E-3</v>
      </c>
      <c r="W62" s="1"/>
      <c r="X62" s="1">
        <f t="shared" si="34"/>
        <v>-1390.45</v>
      </c>
      <c r="Y62" s="1"/>
      <c r="Z62" s="5">
        <f t="shared" si="35"/>
        <v>-0.49132508833922262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270</v>
      </c>
      <c r="I63" s="2"/>
      <c r="J63" s="7">
        <f t="shared" si="29"/>
        <v>1.6191806945685483E-3</v>
      </c>
      <c r="K63" s="2"/>
      <c r="L63" s="6">
        <f t="shared" si="30"/>
        <v>-270</v>
      </c>
      <c r="M63" s="2"/>
      <c r="N63" s="7">
        <f t="shared" si="31"/>
        <v>-1</v>
      </c>
      <c r="O63" s="11"/>
      <c r="P63" s="6">
        <v>1439.55</v>
      </c>
      <c r="Q63" s="2"/>
      <c r="R63" s="7">
        <f t="shared" si="32"/>
        <v>2.7283901662188627E-3</v>
      </c>
      <c r="S63" s="2"/>
      <c r="T63" s="6">
        <v>2830</v>
      </c>
      <c r="U63" s="2"/>
      <c r="V63" s="7">
        <f t="shared" si="33"/>
        <v>4.1546102226900439E-3</v>
      </c>
      <c r="W63" s="2"/>
      <c r="X63" s="6">
        <f t="shared" si="34"/>
        <v>-1390.45</v>
      </c>
      <c r="Y63" s="2"/>
      <c r="Z63" s="7">
        <f t="shared" si="35"/>
        <v>-0.49132508833922262</v>
      </c>
    </row>
    <row r="64" spans="1:26" s="29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7985.87</v>
      </c>
      <c r="E64" s="1"/>
      <c r="F64" s="5">
        <f t="shared" si="28"/>
        <v>7.4108516456237492E-2</v>
      </c>
      <c r="G64" s="1"/>
      <c r="H64" s="1">
        <f>SUM(OSRRefH22_10x_0)</f>
        <v>13340</v>
      </c>
      <c r="I64" s="1"/>
      <c r="J64" s="5">
        <f t="shared" si="29"/>
        <v>7.9999520242757166E-2</v>
      </c>
      <c r="K64" s="1"/>
      <c r="L64" s="1">
        <f t="shared" si="30"/>
        <v>-5354.13</v>
      </c>
      <c r="M64" s="1"/>
      <c r="N64" s="5">
        <f t="shared" si="31"/>
        <v>-0.4013590704647676</v>
      </c>
      <c r="O64" s="14"/>
      <c r="P64" s="1">
        <f>SUM(OSRRefP22_10x_0)</f>
        <v>34790.899999999994</v>
      </c>
      <c r="Q64" s="1"/>
      <c r="R64" s="5">
        <f t="shared" si="32"/>
        <v>6.5939459854748916E-2</v>
      </c>
      <c r="S64" s="1"/>
      <c r="T64" s="1">
        <f>SUM(OSRRefT22_10x_0)</f>
        <v>54495</v>
      </c>
      <c r="U64" s="1"/>
      <c r="V64" s="5">
        <f t="shared" si="33"/>
        <v>8.0001937839397158E-2</v>
      </c>
      <c r="W64" s="1"/>
      <c r="X64" s="1">
        <f t="shared" si="34"/>
        <v>-19704.100000000006</v>
      </c>
      <c r="Y64" s="1"/>
      <c r="Z64" s="5">
        <f t="shared" si="35"/>
        <v>-0.36157629140288111</v>
      </c>
    </row>
    <row r="65" spans="1:26" s="24" customFormat="1" hidden="1" outlineLevel="2" x14ac:dyDescent="0.25">
      <c r="A65" s="28"/>
      <c r="B65" s="11" t="str">
        <f>CONCATENATE("          ", "6387", " - ", "COMMISSION DUE HOUSING")</f>
        <v xml:space="preserve">          6387 - COMMISSION DUE HOUSING</v>
      </c>
      <c r="C65" s="11"/>
      <c r="D65" s="6">
        <v>7985.87</v>
      </c>
      <c r="E65" s="2"/>
      <c r="F65" s="7">
        <f t="shared" si="28"/>
        <v>7.4108516456237492E-2</v>
      </c>
      <c r="G65" s="2"/>
      <c r="H65" s="6">
        <v>13340</v>
      </c>
      <c r="I65" s="2"/>
      <c r="J65" s="7">
        <f t="shared" si="29"/>
        <v>7.9999520242757166E-2</v>
      </c>
      <c r="K65" s="2"/>
      <c r="L65" s="6">
        <f t="shared" si="30"/>
        <v>-5354.13</v>
      </c>
      <c r="M65" s="2"/>
      <c r="N65" s="7">
        <f t="shared" si="31"/>
        <v>-0.4013590704647676</v>
      </c>
      <c r="O65" s="11"/>
      <c r="P65" s="6">
        <v>34790.899999999994</v>
      </c>
      <c r="Q65" s="2"/>
      <c r="R65" s="7">
        <f t="shared" si="32"/>
        <v>6.5939459854748916E-2</v>
      </c>
      <c r="S65" s="2"/>
      <c r="T65" s="6">
        <v>54495</v>
      </c>
      <c r="U65" s="2"/>
      <c r="V65" s="7">
        <f t="shared" si="33"/>
        <v>8.0001937839397158E-2</v>
      </c>
      <c r="W65" s="2"/>
      <c r="X65" s="6">
        <f t="shared" si="34"/>
        <v>-19704.100000000006</v>
      </c>
      <c r="Y65" s="2"/>
      <c r="Z65" s="7">
        <f t="shared" si="35"/>
        <v>-0.36157629140288111</v>
      </c>
    </row>
    <row r="66" spans="1:26" s="29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1083.72</v>
      </c>
      <c r="E66" s="1"/>
      <c r="F66" s="5">
        <f t="shared" si="28"/>
        <v>1.0056873133916993E-2</v>
      </c>
      <c r="G66" s="1"/>
      <c r="H66" s="1">
        <f>SUM(OSRRefH22_11x_0)</f>
        <v>8788</v>
      </c>
      <c r="I66" s="1"/>
      <c r="J66" s="5">
        <f t="shared" si="29"/>
        <v>5.2701333125438531E-2</v>
      </c>
      <c r="K66" s="1"/>
      <c r="L66" s="1">
        <f t="shared" si="30"/>
        <v>-7704.28</v>
      </c>
      <c r="M66" s="1"/>
      <c r="N66" s="5">
        <f t="shared" si="31"/>
        <v>-0.876681838871188</v>
      </c>
      <c r="O66" s="14"/>
      <c r="P66" s="1">
        <f>SUM(OSRRefP22_11x_0)</f>
        <v>3181.84</v>
      </c>
      <c r="Q66" s="1"/>
      <c r="R66" s="5">
        <f t="shared" si="32"/>
        <v>6.0305657785292809E-3</v>
      </c>
      <c r="S66" s="1"/>
      <c r="T66" s="1">
        <f>SUM(OSRRefT22_11x_0)</f>
        <v>13023</v>
      </c>
      <c r="U66" s="1"/>
      <c r="V66" s="5">
        <f t="shared" si="33"/>
        <v>1.9118547325121006E-2</v>
      </c>
      <c r="W66" s="1"/>
      <c r="X66" s="1">
        <f t="shared" si="34"/>
        <v>-9841.16</v>
      </c>
      <c r="Y66" s="1"/>
      <c r="Z66" s="5">
        <f t="shared" si="35"/>
        <v>-0.75567534362282118</v>
      </c>
    </row>
    <row r="67" spans="1:26" s="24" customFormat="1" hidden="1" outlineLevel="2" x14ac:dyDescent="0.25">
      <c r="A67" s="28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8500</v>
      </c>
      <c r="I67" s="2"/>
      <c r="J67" s="7">
        <f t="shared" si="29"/>
        <v>5.0974207051232075E-2</v>
      </c>
      <c r="K67" s="2"/>
      <c r="L67" s="6">
        <f t="shared" si="30"/>
        <v>-8500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8500</v>
      </c>
      <c r="U67" s="2"/>
      <c r="V67" s="7">
        <f t="shared" si="33"/>
        <v>1.2478511269563737E-2</v>
      </c>
      <c r="W67" s="2"/>
      <c r="X67" s="6">
        <f t="shared" si="34"/>
        <v>-8500</v>
      </c>
      <c r="Y67" s="2"/>
      <c r="Z67" s="7">
        <f t="shared" si="35"/>
        <v>-1</v>
      </c>
    </row>
    <row r="68" spans="1:26" s="24" customFormat="1" hidden="1" outlineLevel="2" x14ac:dyDescent="0.25">
      <c r="A68" s="28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/>
      <c r="Q68" s="2"/>
      <c r="R68" s="7">
        <f t="shared" si="32"/>
        <v>0</v>
      </c>
      <c r="S68" s="2"/>
      <c r="T68" s="6">
        <v>3083</v>
      </c>
      <c r="U68" s="2"/>
      <c r="V68" s="7">
        <f t="shared" si="33"/>
        <v>4.5260294404782355E-3</v>
      </c>
      <c r="W68" s="2"/>
      <c r="X68" s="6">
        <f t="shared" si="34"/>
        <v>-3083</v>
      </c>
      <c r="Y68" s="2"/>
      <c r="Z68" s="7">
        <f t="shared" si="35"/>
        <v>-1</v>
      </c>
    </row>
    <row r="69" spans="1:26" s="24" customFormat="1" hidden="1" outlineLevel="2" x14ac:dyDescent="0.25">
      <c r="A69" s="28"/>
      <c r="B69" s="11" t="str">
        <f>CONCATENATE("          ", "6373", " - ", "MAINTENANCE CONTRACTS")</f>
        <v xml:space="preserve">          6373 - MAINTENANCE CONTRACTS</v>
      </c>
      <c r="C69" s="11"/>
      <c r="D69" s="6">
        <v>8.52</v>
      </c>
      <c r="E69" s="2"/>
      <c r="F69" s="7">
        <f t="shared" si="28"/>
        <v>7.9065218968896742E-5</v>
      </c>
      <c r="G69" s="2"/>
      <c r="H69" s="6">
        <v>38</v>
      </c>
      <c r="I69" s="2"/>
      <c r="J69" s="7">
        <f t="shared" si="29"/>
        <v>2.2788469034668458E-4</v>
      </c>
      <c r="K69" s="2"/>
      <c r="L69" s="6">
        <f t="shared" si="30"/>
        <v>-29.48</v>
      </c>
      <c r="M69" s="2"/>
      <c r="N69" s="7">
        <f t="shared" si="31"/>
        <v>-0.77578947368421058</v>
      </c>
      <c r="O69" s="11"/>
      <c r="P69" s="6">
        <v>1505.02</v>
      </c>
      <c r="Q69" s="2"/>
      <c r="R69" s="7">
        <f t="shared" si="32"/>
        <v>2.8524759598226616E-3</v>
      </c>
      <c r="S69" s="2"/>
      <c r="T69" s="6">
        <v>190</v>
      </c>
      <c r="U69" s="2"/>
      <c r="V69" s="7">
        <f t="shared" si="33"/>
        <v>2.7893142837848351E-4</v>
      </c>
      <c r="W69" s="2"/>
      <c r="X69" s="6">
        <f t="shared" si="34"/>
        <v>1315.02</v>
      </c>
      <c r="Y69" s="2"/>
      <c r="Z69" s="7">
        <f t="shared" si="35"/>
        <v>6.921157894736842</v>
      </c>
    </row>
    <row r="70" spans="1:26" s="24" customFormat="1" hidden="1" outlineLevel="2" x14ac:dyDescent="0.25">
      <c r="A70" s="28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1075.2</v>
      </c>
      <c r="E70" s="2"/>
      <c r="F70" s="7">
        <f t="shared" si="28"/>
        <v>9.9778079149480964E-3</v>
      </c>
      <c r="G70" s="2"/>
      <c r="H70" s="6">
        <v>250</v>
      </c>
      <c r="I70" s="2"/>
      <c r="J70" s="7">
        <f t="shared" si="29"/>
        <v>1.499241383859767E-3</v>
      </c>
      <c r="K70" s="2"/>
      <c r="L70" s="6">
        <f t="shared" si="30"/>
        <v>825.2</v>
      </c>
      <c r="M70" s="2"/>
      <c r="N70" s="7">
        <f t="shared" si="31"/>
        <v>3.3008000000000002</v>
      </c>
      <c r="O70" s="11"/>
      <c r="P70" s="6">
        <v>1676.82</v>
      </c>
      <c r="Q70" s="2"/>
      <c r="R70" s="7">
        <f t="shared" si="32"/>
        <v>3.1780898187066188E-3</v>
      </c>
      <c r="S70" s="2"/>
      <c r="T70" s="6">
        <v>1250</v>
      </c>
      <c r="U70" s="2"/>
      <c r="V70" s="7">
        <f t="shared" si="33"/>
        <v>1.8350751867005496E-3</v>
      </c>
      <c r="W70" s="2"/>
      <c r="X70" s="6">
        <f t="shared" si="34"/>
        <v>426.81999999999994</v>
      </c>
      <c r="Y70" s="2"/>
      <c r="Z70" s="7">
        <f t="shared" si="35"/>
        <v>0.34145599999999993</v>
      </c>
    </row>
    <row r="71" spans="1:26" s="29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SUM(OSRRefD22_12x_0)</f>
        <v>4756.5400000000009</v>
      </c>
      <c r="E71" s="1"/>
      <c r="F71" s="5">
        <f t="shared" ref="F71:F74" si="36">IF(D$12=0,0,D71/D$12)</f>
        <v>4.4140478478206124E-2</v>
      </c>
      <c r="G71" s="1"/>
      <c r="H71" s="1">
        <f>SUM(OSRRefH22_12x_0)</f>
        <v>6221</v>
      </c>
      <c r="I71" s="1"/>
      <c r="J71" s="5">
        <f t="shared" ref="J71:J74" si="37">IF(H$12=0,0,H71/H$12)</f>
        <v>3.7307122595966441E-2</v>
      </c>
      <c r="K71" s="1"/>
      <c r="L71" s="1">
        <f t="shared" ref="L71:L74" si="38">+D71-H71</f>
        <v>-1464.4599999999991</v>
      </c>
      <c r="M71" s="1"/>
      <c r="N71" s="5">
        <f t="shared" ref="N71:N74" si="39">IF(H71=0,0,L71/H71)</f>
        <v>-0.23540588329850493</v>
      </c>
      <c r="O71" s="14"/>
      <c r="P71" s="1">
        <f>SUM(OSRRefP22_12x_0)</f>
        <v>20713.46</v>
      </c>
      <c r="Q71" s="1"/>
      <c r="R71" s="5">
        <f t="shared" ref="R71:R74" si="40">IF(P$12=0,0,P71/P$12)</f>
        <v>3.9258379752261305E-2</v>
      </c>
      <c r="S71" s="1"/>
      <c r="T71" s="1">
        <f>SUM(OSRRefT22_12x_0)</f>
        <v>31105</v>
      </c>
      <c r="U71" s="1"/>
      <c r="V71" s="5">
        <f t="shared" ref="V71:V74" si="41">IF(T$12=0,0,T71/T$12)</f>
        <v>4.5664010945856474E-2</v>
      </c>
      <c r="W71" s="1"/>
      <c r="X71" s="1">
        <f t="shared" ref="X71:X74" si="42">+P71-T71</f>
        <v>-10391.540000000001</v>
      </c>
      <c r="Y71" s="1"/>
      <c r="Z71" s="5">
        <f t="shared" ref="Z71:Z74" si="43">IF(T71=0,0,X71/T71)</f>
        <v>-0.33407940845523232</v>
      </c>
    </row>
    <row r="72" spans="1:26" s="24" customFormat="1" hidden="1" outlineLevel="2" x14ac:dyDescent="0.25">
      <c r="A72" s="28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36"/>
        <v>0</v>
      </c>
      <c r="G72" s="2"/>
      <c r="H72" s="6">
        <v>450</v>
      </c>
      <c r="I72" s="2"/>
      <c r="J72" s="7">
        <f t="shared" si="37"/>
        <v>2.6986344909475804E-3</v>
      </c>
      <c r="K72" s="2"/>
      <c r="L72" s="6">
        <f t="shared" si="38"/>
        <v>-450</v>
      </c>
      <c r="M72" s="2"/>
      <c r="N72" s="7">
        <f t="shared" si="39"/>
        <v>-1</v>
      </c>
      <c r="O72" s="11"/>
      <c r="P72" s="6">
        <v>842.68</v>
      </c>
      <c r="Q72" s="2"/>
      <c r="R72" s="7">
        <f t="shared" si="40"/>
        <v>1.5971378731334869E-3</v>
      </c>
      <c r="S72" s="2"/>
      <c r="T72" s="6">
        <v>2250</v>
      </c>
      <c r="U72" s="2"/>
      <c r="V72" s="7">
        <f t="shared" si="41"/>
        <v>3.3031353360609889E-3</v>
      </c>
      <c r="W72" s="2"/>
      <c r="X72" s="6">
        <f t="shared" si="42"/>
        <v>-1407.3200000000002</v>
      </c>
      <c r="Y72" s="2"/>
      <c r="Z72" s="7">
        <f t="shared" si="43"/>
        <v>-0.62547555555555567</v>
      </c>
    </row>
    <row r="73" spans="1:26" s="24" customFormat="1" hidden="1" outlineLevel="2" x14ac:dyDescent="0.25">
      <c r="A73" s="28"/>
      <c r="B73" s="11" t="str">
        <f>CONCATENATE("          ", "6285", " - ", "JANITORIAL SERVICES")</f>
        <v xml:space="preserve">          6285 - JANITORIAL SERVICES</v>
      </c>
      <c r="C73" s="11"/>
      <c r="D73" s="6">
        <v>4194.1000000000004</v>
      </c>
      <c r="E73" s="2"/>
      <c r="F73" s="7">
        <f t="shared" si="36"/>
        <v>3.8921060431625569E-2</v>
      </c>
      <c r="G73" s="2"/>
      <c r="H73" s="6">
        <v>4271</v>
      </c>
      <c r="I73" s="2"/>
      <c r="J73" s="7">
        <f t="shared" si="37"/>
        <v>2.5613039801860259E-2</v>
      </c>
      <c r="K73" s="2"/>
      <c r="L73" s="6">
        <f t="shared" si="38"/>
        <v>-76.899999999999636</v>
      </c>
      <c r="M73" s="2"/>
      <c r="N73" s="7">
        <f t="shared" si="39"/>
        <v>-1.8005151018496753E-2</v>
      </c>
      <c r="O73" s="11"/>
      <c r="P73" s="6">
        <v>16008.529999999999</v>
      </c>
      <c r="Q73" s="2"/>
      <c r="R73" s="7">
        <f t="shared" si="40"/>
        <v>3.0341089804188561E-2</v>
      </c>
      <c r="S73" s="2"/>
      <c r="T73" s="6">
        <v>21355</v>
      </c>
      <c r="U73" s="2"/>
      <c r="V73" s="7">
        <f t="shared" si="41"/>
        <v>3.1350424489592188E-2</v>
      </c>
      <c r="W73" s="2"/>
      <c r="X73" s="6">
        <f t="shared" si="42"/>
        <v>-5346.4700000000012</v>
      </c>
      <c r="Y73" s="2"/>
      <c r="Z73" s="7">
        <f t="shared" si="43"/>
        <v>-0.2503615078435964</v>
      </c>
    </row>
    <row r="74" spans="1:26" s="24" customFormat="1" hidden="1" outlineLevel="2" x14ac:dyDescent="0.25">
      <c r="A74" s="28"/>
      <c r="B74" s="11" t="str">
        <f>CONCATENATE("          ", "6286", " - ", "LAUNDRY EXPENSE")</f>
        <v xml:space="preserve">          6286 - LAUNDRY EXPENSE</v>
      </c>
      <c r="C74" s="11"/>
      <c r="D74" s="6">
        <v>562.44000000000005</v>
      </c>
      <c r="E74" s="2"/>
      <c r="F74" s="7">
        <f t="shared" si="36"/>
        <v>5.2194180465805502E-3</v>
      </c>
      <c r="G74" s="2"/>
      <c r="H74" s="6">
        <v>1500</v>
      </c>
      <c r="I74" s="2"/>
      <c r="J74" s="7">
        <f t="shared" si="37"/>
        <v>8.995448303158602E-3</v>
      </c>
      <c r="K74" s="2"/>
      <c r="L74" s="6">
        <f t="shared" si="38"/>
        <v>-937.56</v>
      </c>
      <c r="M74" s="2"/>
      <c r="N74" s="7">
        <f t="shared" si="39"/>
        <v>-0.62503999999999993</v>
      </c>
      <c r="O74" s="11"/>
      <c r="P74" s="6">
        <v>3862.25</v>
      </c>
      <c r="Q74" s="2"/>
      <c r="R74" s="7">
        <f t="shared" si="40"/>
        <v>7.3201520749392535E-3</v>
      </c>
      <c r="S74" s="2"/>
      <c r="T74" s="6">
        <v>7500</v>
      </c>
      <c r="U74" s="2"/>
      <c r="V74" s="7">
        <f t="shared" si="41"/>
        <v>1.1010451120203296E-2</v>
      </c>
      <c r="W74" s="2"/>
      <c r="X74" s="6">
        <f t="shared" si="42"/>
        <v>-3637.75</v>
      </c>
      <c r="Y74" s="2"/>
      <c r="Z74" s="7">
        <f t="shared" si="43"/>
        <v>-0.48503333333333332</v>
      </c>
    </row>
    <row r="75" spans="1:26" s="29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SUM(OSRRefD22_13x_0)</f>
        <v>795</v>
      </c>
      <c r="E75" s="1"/>
      <c r="F75" s="5">
        <f t="shared" ref="F75:F86" si="44">IF(D$12=0,0,D75/D$12)</f>
        <v>7.3775644460414213E-3</v>
      </c>
      <c r="G75" s="1"/>
      <c r="H75" s="1">
        <f>SUM(OSRRefH22_13x_0)</f>
        <v>0</v>
      </c>
      <c r="I75" s="1"/>
      <c r="J75" s="5">
        <f t="shared" ref="J75:J86" si="45">IF(H$12=0,0,H75/H$12)</f>
        <v>0</v>
      </c>
      <c r="K75" s="1"/>
      <c r="L75" s="1">
        <f t="shared" ref="L75:L86" si="46">+D75-H75</f>
        <v>795</v>
      </c>
      <c r="M75" s="1"/>
      <c r="N75" s="5">
        <f t="shared" ref="N75:N86" si="47">IF(H75=0,0,L75/H75)</f>
        <v>0</v>
      </c>
      <c r="O75" s="14"/>
      <c r="P75" s="1">
        <f>SUM(OSRRefP22_13x_0)</f>
        <v>795</v>
      </c>
      <c r="Q75" s="1"/>
      <c r="R75" s="5">
        <f t="shared" ref="R75:R86" si="48">IF(P$12=0,0,P75/P$12)</f>
        <v>1.5067696031009661E-3</v>
      </c>
      <c r="S75" s="1"/>
      <c r="T75" s="1">
        <f>SUM(OSRRefT22_13x_0)</f>
        <v>0</v>
      </c>
      <c r="U75" s="1"/>
      <c r="V75" s="5">
        <f t="shared" ref="V75:V86" si="49">IF(T$12=0,0,T75/T$12)</f>
        <v>0</v>
      </c>
      <c r="W75" s="1"/>
      <c r="X75" s="1">
        <f t="shared" ref="X75:X86" si="50">+P75-T75</f>
        <v>795</v>
      </c>
      <c r="Y75" s="1"/>
      <c r="Z75" s="5">
        <f t="shared" ref="Z75:Z86" si="51">IF(T75=0,0,X75/T75)</f>
        <v>0</v>
      </c>
    </row>
    <row r="76" spans="1:26" s="24" customFormat="1" hidden="1" outlineLevel="2" x14ac:dyDescent="0.25">
      <c r="A76" s="28"/>
      <c r="B76" s="11" t="str">
        <f>CONCATENATE("          ", "6258", " - ", "MEMBERSHIP DUES")</f>
        <v xml:space="preserve">          6258 - MEMBERSHIP DUES</v>
      </c>
      <c r="C76" s="11"/>
      <c r="D76" s="6">
        <v>795</v>
      </c>
      <c r="E76" s="2"/>
      <c r="F76" s="7">
        <f t="shared" si="44"/>
        <v>7.3775644460414213E-3</v>
      </c>
      <c r="G76" s="2"/>
      <c r="H76" s="6"/>
      <c r="I76" s="2"/>
      <c r="J76" s="7">
        <f t="shared" si="45"/>
        <v>0</v>
      </c>
      <c r="K76" s="2"/>
      <c r="L76" s="6">
        <f t="shared" si="46"/>
        <v>795</v>
      </c>
      <c r="M76" s="2"/>
      <c r="N76" s="7">
        <f t="shared" si="47"/>
        <v>0</v>
      </c>
      <c r="O76" s="11"/>
      <c r="P76" s="6">
        <v>795</v>
      </c>
      <c r="Q76" s="2"/>
      <c r="R76" s="7">
        <f t="shared" si="48"/>
        <v>1.5067696031009661E-3</v>
      </c>
      <c r="S76" s="2"/>
      <c r="T76" s="6"/>
      <c r="U76" s="2"/>
      <c r="V76" s="7">
        <f t="shared" si="49"/>
        <v>0</v>
      </c>
      <c r="W76" s="2"/>
      <c r="X76" s="6">
        <f t="shared" si="50"/>
        <v>795</v>
      </c>
      <c r="Y76" s="2"/>
      <c r="Z76" s="7">
        <f t="shared" si="51"/>
        <v>0</v>
      </c>
    </row>
    <row r="77" spans="1:26" s="29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21390.29</v>
      </c>
      <c r="E77" s="1"/>
      <c r="F77" s="5">
        <f t="shared" si="44"/>
        <v>0.19850093458429607</v>
      </c>
      <c r="G77" s="1"/>
      <c r="H77" s="1">
        <f>SUM(OSRRefH22_14x_0)</f>
        <v>8018</v>
      </c>
      <c r="I77" s="1"/>
      <c r="J77" s="5">
        <f t="shared" si="45"/>
        <v>4.8083669663150447E-2</v>
      </c>
      <c r="K77" s="1"/>
      <c r="L77" s="1">
        <f t="shared" si="46"/>
        <v>13372.29</v>
      </c>
      <c r="M77" s="1"/>
      <c r="N77" s="5">
        <f t="shared" si="47"/>
        <v>1.6677837365926667</v>
      </c>
      <c r="O77" s="14"/>
      <c r="P77" s="1">
        <f>SUM(OSRRefP22_14x_0)</f>
        <v>63020.450000000012</v>
      </c>
      <c r="Q77" s="1"/>
      <c r="R77" s="5">
        <f t="shared" si="48"/>
        <v>0.11944314268395509</v>
      </c>
      <c r="S77" s="1"/>
      <c r="T77" s="1">
        <f>SUM(OSRRefT22_14x_0)</f>
        <v>33232</v>
      </c>
      <c r="U77" s="1"/>
      <c r="V77" s="5">
        <f t="shared" si="49"/>
        <v>4.8786574883546131E-2</v>
      </c>
      <c r="W77" s="1"/>
      <c r="X77" s="1">
        <f t="shared" si="50"/>
        <v>29788.450000000012</v>
      </c>
      <c r="Y77" s="1"/>
      <c r="Z77" s="5">
        <f t="shared" si="51"/>
        <v>0.89637849061145913</v>
      </c>
    </row>
    <row r="78" spans="1:26" s="24" customFormat="1" hidden="1" outlineLevel="2" x14ac:dyDescent="0.25">
      <c r="A78" s="28"/>
      <c r="B78" s="11" t="str">
        <f>CONCATENATE("          ", "6235", " - ", "COVID-19 EXPENSES")</f>
        <v xml:space="preserve">          6235 - COVID-19 EXPENSES</v>
      </c>
      <c r="C78" s="11"/>
      <c r="D78" s="6">
        <v>11925.52</v>
      </c>
      <c r="E78" s="2"/>
      <c r="F78" s="7">
        <f t="shared" si="44"/>
        <v>0.11066829226736591</v>
      </c>
      <c r="G78" s="2"/>
      <c r="H78" s="6">
        <v>4000</v>
      </c>
      <c r="I78" s="2"/>
      <c r="J78" s="7">
        <f t="shared" si="45"/>
        <v>2.3987862141756272E-2</v>
      </c>
      <c r="K78" s="2"/>
      <c r="L78" s="6">
        <f t="shared" si="46"/>
        <v>7925.52</v>
      </c>
      <c r="M78" s="2"/>
      <c r="N78" s="7">
        <f t="shared" si="47"/>
        <v>1.9813800000000001</v>
      </c>
      <c r="O78" s="11"/>
      <c r="P78" s="6">
        <v>36697.89</v>
      </c>
      <c r="Q78" s="2"/>
      <c r="R78" s="7">
        <f t="shared" si="48"/>
        <v>6.9553792641437628E-2</v>
      </c>
      <c r="S78" s="2"/>
      <c r="T78" s="6">
        <v>16000</v>
      </c>
      <c r="U78" s="2"/>
      <c r="V78" s="7">
        <f t="shared" si="49"/>
        <v>2.3488962389767033E-2</v>
      </c>
      <c r="W78" s="2"/>
      <c r="X78" s="6">
        <f t="shared" si="50"/>
        <v>20697.89</v>
      </c>
      <c r="Y78" s="2"/>
      <c r="Z78" s="7">
        <f t="shared" si="51"/>
        <v>1.2936181250000001</v>
      </c>
    </row>
    <row r="79" spans="1:26" s="24" customFormat="1" hidden="1" outlineLevel="2" x14ac:dyDescent="0.25">
      <c r="A79" s="28"/>
      <c r="B79" s="11" t="str">
        <f>CONCATENATE("          ", "6237", " - ", "JANITORIAL SUPPLIES")</f>
        <v xml:space="preserve">          6237 - JANITORIAL SUPPLIES</v>
      </c>
      <c r="C79" s="11"/>
      <c r="D79" s="6">
        <v>390.1</v>
      </c>
      <c r="E79" s="2"/>
      <c r="F79" s="7">
        <f t="shared" si="44"/>
        <v>3.6201105539632188E-3</v>
      </c>
      <c r="G79" s="2"/>
      <c r="H79" s="6">
        <v>3000</v>
      </c>
      <c r="I79" s="2"/>
      <c r="J79" s="7">
        <f t="shared" si="45"/>
        <v>1.7990896606317204E-2</v>
      </c>
      <c r="K79" s="2"/>
      <c r="L79" s="6">
        <f t="shared" si="46"/>
        <v>-2609.9</v>
      </c>
      <c r="M79" s="2"/>
      <c r="N79" s="7">
        <f t="shared" si="47"/>
        <v>-0.86996666666666667</v>
      </c>
      <c r="O79" s="11"/>
      <c r="P79" s="6">
        <v>5731.27</v>
      </c>
      <c r="Q79" s="2"/>
      <c r="R79" s="7">
        <f t="shared" si="48"/>
        <v>1.0862520029137703E-2</v>
      </c>
      <c r="S79" s="2"/>
      <c r="T79" s="6">
        <v>12000</v>
      </c>
      <c r="U79" s="2"/>
      <c r="V79" s="7">
        <f t="shared" si="49"/>
        <v>1.7616721792325277E-2</v>
      </c>
      <c r="W79" s="2"/>
      <c r="X79" s="6">
        <f t="shared" si="50"/>
        <v>-6268.73</v>
      </c>
      <c r="Y79" s="2"/>
      <c r="Z79" s="7">
        <f t="shared" si="51"/>
        <v>-0.5223941666666666</v>
      </c>
    </row>
    <row r="80" spans="1:26" s="24" customFormat="1" hidden="1" outlineLevel="2" x14ac:dyDescent="0.25">
      <c r="A80" s="28"/>
      <c r="B80" s="11" t="str">
        <f>CONCATENATE("          ", "6239", " - ", "KITCHEN SUPPLIES")</f>
        <v xml:space="preserve">          6239 - KITCHEN SUPPLIES</v>
      </c>
      <c r="C80" s="11"/>
      <c r="D80" s="6">
        <v>1494.83</v>
      </c>
      <c r="E80" s="2"/>
      <c r="F80" s="7">
        <f t="shared" si="44"/>
        <v>1.387195554827182E-2</v>
      </c>
      <c r="G80" s="2"/>
      <c r="H80" s="6">
        <v>500</v>
      </c>
      <c r="I80" s="2"/>
      <c r="J80" s="7">
        <f t="shared" si="45"/>
        <v>2.998482767719534E-3</v>
      </c>
      <c r="K80" s="2"/>
      <c r="L80" s="6">
        <f t="shared" si="46"/>
        <v>994.82999999999993</v>
      </c>
      <c r="M80" s="2"/>
      <c r="N80" s="7">
        <f t="shared" si="47"/>
        <v>1.9896599999999998</v>
      </c>
      <c r="O80" s="11"/>
      <c r="P80" s="6">
        <v>4635.4399999999996</v>
      </c>
      <c r="Q80" s="2"/>
      <c r="R80" s="7">
        <f t="shared" si="48"/>
        <v>8.7855850176079778E-3</v>
      </c>
      <c r="S80" s="2"/>
      <c r="T80" s="6">
        <v>2000</v>
      </c>
      <c r="U80" s="2"/>
      <c r="V80" s="7">
        <f t="shared" si="49"/>
        <v>2.9361202987208792E-3</v>
      </c>
      <c r="W80" s="2"/>
      <c r="X80" s="6">
        <f t="shared" si="50"/>
        <v>2635.4399999999996</v>
      </c>
      <c r="Y80" s="2"/>
      <c r="Z80" s="7">
        <f t="shared" si="51"/>
        <v>1.3177199999999998</v>
      </c>
    </row>
    <row r="81" spans="1:26" s="24" customFormat="1" hidden="1" outlineLevel="2" x14ac:dyDescent="0.25">
      <c r="A81" s="28"/>
      <c r="B81" s="11" t="str">
        <f>CONCATENATE("          ", "6241", " - ", "OFFICE EXPENSE")</f>
        <v xml:space="preserve">          6241 - OFFICE EXPENSE</v>
      </c>
      <c r="C81" s="11"/>
      <c r="D81" s="6">
        <v>1207.05</v>
      </c>
      <c r="E81" s="2"/>
      <c r="F81" s="7">
        <f t="shared" si="44"/>
        <v>1.1201370018357608E-2</v>
      </c>
      <c r="G81" s="2"/>
      <c r="H81" s="6">
        <v>150</v>
      </c>
      <c r="I81" s="2"/>
      <c r="J81" s="7">
        <f t="shared" si="45"/>
        <v>8.9954483031586018E-4</v>
      </c>
      <c r="K81" s="2"/>
      <c r="L81" s="6">
        <f t="shared" si="46"/>
        <v>1057.05</v>
      </c>
      <c r="M81" s="2"/>
      <c r="N81" s="7">
        <f t="shared" si="47"/>
        <v>7.0469999999999997</v>
      </c>
      <c r="O81" s="11"/>
      <c r="P81" s="6">
        <v>2485.12</v>
      </c>
      <c r="Q81" s="2"/>
      <c r="R81" s="7">
        <f t="shared" si="48"/>
        <v>4.710067013909777E-3</v>
      </c>
      <c r="S81" s="2"/>
      <c r="T81" s="6">
        <v>750</v>
      </c>
      <c r="U81" s="2"/>
      <c r="V81" s="7">
        <f t="shared" si="49"/>
        <v>1.1010451120203298E-3</v>
      </c>
      <c r="W81" s="2"/>
      <c r="X81" s="6">
        <f t="shared" si="50"/>
        <v>1735.12</v>
      </c>
      <c r="Y81" s="2"/>
      <c r="Z81" s="7">
        <f t="shared" si="51"/>
        <v>2.3134933333333332</v>
      </c>
    </row>
    <row r="82" spans="1:26" s="24" customFormat="1" hidden="1" outlineLevel="2" x14ac:dyDescent="0.25">
      <c r="A82" s="28"/>
      <c r="B82" s="11" t="str">
        <f>CONCATENATE("          ", "6243", " - ", "PAPER SUPPLIES")</f>
        <v xml:space="preserve">          6243 - PAPER SUPPLIES</v>
      </c>
      <c r="C82" s="11"/>
      <c r="D82" s="6">
        <v>5686.88</v>
      </c>
      <c r="E82" s="2"/>
      <c r="F82" s="7">
        <f t="shared" si="44"/>
        <v>5.2773992071577409E-2</v>
      </c>
      <c r="G82" s="2"/>
      <c r="H82" s="6"/>
      <c r="I82" s="2"/>
      <c r="J82" s="7">
        <f t="shared" si="45"/>
        <v>0</v>
      </c>
      <c r="K82" s="2"/>
      <c r="L82" s="6">
        <f t="shared" si="46"/>
        <v>5686.88</v>
      </c>
      <c r="M82" s="2"/>
      <c r="N82" s="7">
        <f t="shared" si="47"/>
        <v>0</v>
      </c>
      <c r="O82" s="11"/>
      <c r="P82" s="6">
        <v>8970.14</v>
      </c>
      <c r="Q82" s="2"/>
      <c r="R82" s="7">
        <f t="shared" si="48"/>
        <v>1.7001175204478112E-2</v>
      </c>
      <c r="S82" s="2"/>
      <c r="T82" s="6"/>
      <c r="U82" s="2"/>
      <c r="V82" s="7">
        <f t="shared" si="49"/>
        <v>0</v>
      </c>
      <c r="W82" s="2"/>
      <c r="X82" s="6">
        <f t="shared" si="50"/>
        <v>8970.14</v>
      </c>
      <c r="Y82" s="2"/>
      <c r="Z82" s="7">
        <f t="shared" si="51"/>
        <v>0</v>
      </c>
    </row>
    <row r="83" spans="1:26" s="24" customFormat="1" hidden="1" outlineLevel="2" x14ac:dyDescent="0.25">
      <c r="A83" s="28"/>
      <c r="B83" s="11" t="str">
        <f>CONCATENATE("          ", "6244", " - ", "SAFETY SUPPLY EXPENSE")</f>
        <v xml:space="preserve">          6244 - SAFETY SUPPLY EXPENSE</v>
      </c>
      <c r="C83" s="11"/>
      <c r="D83" s="6"/>
      <c r="E83" s="2"/>
      <c r="F83" s="7">
        <f t="shared" si="44"/>
        <v>0</v>
      </c>
      <c r="G83" s="2"/>
      <c r="H83" s="6">
        <v>0</v>
      </c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/>
      <c r="Q83" s="2"/>
      <c r="R83" s="7">
        <f t="shared" si="48"/>
        <v>0</v>
      </c>
      <c r="S83" s="2"/>
      <c r="T83" s="6">
        <v>160</v>
      </c>
      <c r="U83" s="2"/>
      <c r="V83" s="7">
        <f t="shared" si="49"/>
        <v>2.3488962389767032E-4</v>
      </c>
      <c r="W83" s="2"/>
      <c r="X83" s="6">
        <f t="shared" si="50"/>
        <v>-160</v>
      </c>
      <c r="Y83" s="2"/>
      <c r="Z83" s="7">
        <f t="shared" si="51"/>
        <v>-1</v>
      </c>
    </row>
    <row r="84" spans="1:26" s="24" customFormat="1" hidden="1" outlineLevel="2" x14ac:dyDescent="0.25">
      <c r="A84" s="28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/>
      <c r="Q84" s="2"/>
      <c r="R84" s="7">
        <f t="shared" si="48"/>
        <v>0</v>
      </c>
      <c r="S84" s="2"/>
      <c r="T84" s="6">
        <v>500</v>
      </c>
      <c r="U84" s="2"/>
      <c r="V84" s="7">
        <f t="shared" si="49"/>
        <v>7.3403007468021979E-4</v>
      </c>
      <c r="W84" s="2"/>
      <c r="X84" s="6">
        <f t="shared" si="50"/>
        <v>-500</v>
      </c>
      <c r="Y84" s="2"/>
      <c r="Z84" s="7">
        <f t="shared" si="51"/>
        <v>-1</v>
      </c>
    </row>
    <row r="85" spans="1:26" s="24" customFormat="1" hidden="1" outlineLevel="2" x14ac:dyDescent="0.25">
      <c r="A85" s="28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44"/>
        <v>0</v>
      </c>
      <c r="G85" s="2"/>
      <c r="H85" s="6">
        <v>18</v>
      </c>
      <c r="I85" s="2"/>
      <c r="J85" s="7">
        <f t="shared" si="45"/>
        <v>1.0794537963790322E-4</v>
      </c>
      <c r="K85" s="2"/>
      <c r="L85" s="6">
        <f t="shared" si="46"/>
        <v>-18</v>
      </c>
      <c r="M85" s="2"/>
      <c r="N85" s="7">
        <f t="shared" si="47"/>
        <v>-1</v>
      </c>
      <c r="O85" s="11"/>
      <c r="P85" s="6"/>
      <c r="Q85" s="2"/>
      <c r="R85" s="7">
        <f t="shared" si="48"/>
        <v>0</v>
      </c>
      <c r="S85" s="2"/>
      <c r="T85" s="6">
        <v>72</v>
      </c>
      <c r="U85" s="2"/>
      <c r="V85" s="7">
        <f t="shared" si="49"/>
        <v>1.0570033075395165E-4</v>
      </c>
      <c r="W85" s="2"/>
      <c r="X85" s="6">
        <f t="shared" si="50"/>
        <v>-72</v>
      </c>
      <c r="Y85" s="2"/>
      <c r="Z85" s="7">
        <f t="shared" si="51"/>
        <v>-1</v>
      </c>
    </row>
    <row r="86" spans="1:26" s="24" customFormat="1" hidden="1" outlineLevel="2" x14ac:dyDescent="0.25">
      <c r="A86" s="28"/>
      <c r="B86" s="11" t="str">
        <f>CONCATENATE("          ", "6248", " - ", "UNIFORMS")</f>
        <v xml:space="preserve">          6248 - UNIFORMS</v>
      </c>
      <c r="C86" s="11"/>
      <c r="D86" s="6">
        <v>685.91</v>
      </c>
      <c r="E86" s="2"/>
      <c r="F86" s="7">
        <f t="shared" si="44"/>
        <v>6.3652141247600895E-3</v>
      </c>
      <c r="G86" s="2"/>
      <c r="H86" s="6">
        <v>350</v>
      </c>
      <c r="I86" s="2"/>
      <c r="J86" s="7">
        <f t="shared" si="45"/>
        <v>2.0989379374036737E-3</v>
      </c>
      <c r="K86" s="2"/>
      <c r="L86" s="6">
        <f t="shared" si="46"/>
        <v>335.90999999999997</v>
      </c>
      <c r="M86" s="2"/>
      <c r="N86" s="7">
        <f t="shared" si="47"/>
        <v>0.95974285714285701</v>
      </c>
      <c r="O86" s="11"/>
      <c r="P86" s="6">
        <v>4500.59</v>
      </c>
      <c r="Q86" s="2"/>
      <c r="R86" s="7">
        <f t="shared" si="48"/>
        <v>8.5300027773838709E-3</v>
      </c>
      <c r="S86" s="2"/>
      <c r="T86" s="6">
        <v>1750</v>
      </c>
      <c r="U86" s="2"/>
      <c r="V86" s="7">
        <f t="shared" si="49"/>
        <v>2.5691052613807694E-3</v>
      </c>
      <c r="W86" s="2"/>
      <c r="X86" s="6">
        <f t="shared" si="50"/>
        <v>2750.59</v>
      </c>
      <c r="Y86" s="2"/>
      <c r="Z86" s="7">
        <f t="shared" si="51"/>
        <v>1.5717657142857144</v>
      </c>
    </row>
    <row r="87" spans="1:26" s="29" customFormat="1" outlineLevel="1" collapsed="1" x14ac:dyDescent="0.25">
      <c r="A87" s="27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SUM(OSRRefD22_15x_0)</f>
        <v>259</v>
      </c>
      <c r="E87" s="1"/>
      <c r="F87" s="5">
        <f t="shared" ref="F87:F89" si="52">IF(D$12=0,0,D87/D$12)</f>
        <v>2.4035084170122368E-3</v>
      </c>
      <c r="G87" s="1"/>
      <c r="H87" s="1">
        <f>SUM(OSRRefH22_15x_0)</f>
        <v>310</v>
      </c>
      <c r="I87" s="1"/>
      <c r="J87" s="5">
        <f t="shared" ref="J87:J89" si="53">IF(H$12=0,0,H87/H$12)</f>
        <v>1.8590593159861111E-3</v>
      </c>
      <c r="K87" s="1"/>
      <c r="L87" s="1">
        <f t="shared" ref="L87:L89" si="54">+D87-H87</f>
        <v>-51</v>
      </c>
      <c r="M87" s="1"/>
      <c r="N87" s="5">
        <f t="shared" ref="N87:N89" si="55">IF(H87=0,0,L87/H87)</f>
        <v>-0.16451612903225807</v>
      </c>
      <c r="O87" s="14"/>
      <c r="P87" s="1">
        <f>SUM(OSRRefP22_15x_0)</f>
        <v>1446</v>
      </c>
      <c r="Q87" s="1"/>
      <c r="R87" s="5">
        <f t="shared" ref="R87:R89" si="56">IF(P$12=0,0,P87/P$12)</f>
        <v>2.7406149007345873E-3</v>
      </c>
      <c r="S87" s="1"/>
      <c r="T87" s="1">
        <f>SUM(OSRRefT22_15x_0)</f>
        <v>1550</v>
      </c>
      <c r="U87" s="1"/>
      <c r="V87" s="5">
        <f t="shared" ref="V87:V89" si="57">IF(T$12=0,0,T87/T$12)</f>
        <v>2.2754932315086815E-3</v>
      </c>
      <c r="W87" s="1"/>
      <c r="X87" s="1">
        <f t="shared" ref="X87:X89" si="58">+P87-T87</f>
        <v>-104</v>
      </c>
      <c r="Y87" s="1"/>
      <c r="Z87" s="5">
        <f t="shared" ref="Z87:Z89" si="59">IF(T87=0,0,X87/T87)</f>
        <v>-6.7096774193548384E-2</v>
      </c>
    </row>
    <row r="88" spans="1:26" s="24" customFormat="1" hidden="1" outlineLevel="2" x14ac:dyDescent="0.25">
      <c r="A88" s="28"/>
      <c r="B88" s="11" t="str">
        <f>CONCATENATE("          ", "6303", " - ", "DATA PHONE LINES")</f>
        <v xml:space="preserve">          6303 - DATA PHONE LINES</v>
      </c>
      <c r="C88" s="11"/>
      <c r="D88" s="6"/>
      <c r="E88" s="2"/>
      <c r="F88" s="7">
        <f t="shared" si="52"/>
        <v>0</v>
      </c>
      <c r="G88" s="2"/>
      <c r="H88" s="6">
        <v>310</v>
      </c>
      <c r="I88" s="2"/>
      <c r="J88" s="7">
        <f t="shared" si="53"/>
        <v>1.8590593159861111E-3</v>
      </c>
      <c r="K88" s="2"/>
      <c r="L88" s="6">
        <f t="shared" si="54"/>
        <v>-310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1550</v>
      </c>
      <c r="U88" s="2"/>
      <c r="V88" s="7">
        <f t="shared" si="57"/>
        <v>2.2754932315086815E-3</v>
      </c>
      <c r="W88" s="2"/>
      <c r="X88" s="6">
        <f t="shared" si="58"/>
        <v>-1550</v>
      </c>
      <c r="Y88" s="2"/>
      <c r="Z88" s="7">
        <f t="shared" si="59"/>
        <v>-1</v>
      </c>
    </row>
    <row r="89" spans="1:26" s="24" customFormat="1" hidden="1" outlineLevel="2" x14ac:dyDescent="0.25">
      <c r="A89" s="28"/>
      <c r="B89" s="11" t="str">
        <f>CONCATENATE("          ", "6309", " - ", "TELEPHONE")</f>
        <v xml:space="preserve">          6309 - TELEPHONE</v>
      </c>
      <c r="C89" s="11"/>
      <c r="D89" s="6">
        <v>259</v>
      </c>
      <c r="E89" s="2"/>
      <c r="F89" s="7">
        <f t="shared" si="52"/>
        <v>2.4035084170122368E-3</v>
      </c>
      <c r="G89" s="2"/>
      <c r="H89" s="6"/>
      <c r="I89" s="2"/>
      <c r="J89" s="7">
        <f t="shared" si="53"/>
        <v>0</v>
      </c>
      <c r="K89" s="2"/>
      <c r="L89" s="6">
        <f t="shared" si="54"/>
        <v>259</v>
      </c>
      <c r="M89" s="2"/>
      <c r="N89" s="7">
        <f t="shared" si="55"/>
        <v>0</v>
      </c>
      <c r="O89" s="11"/>
      <c r="P89" s="6">
        <v>1446</v>
      </c>
      <c r="Q89" s="2"/>
      <c r="R89" s="7">
        <f t="shared" si="56"/>
        <v>2.7406149007345873E-3</v>
      </c>
      <c r="S89" s="2"/>
      <c r="T89" s="6"/>
      <c r="U89" s="2"/>
      <c r="V89" s="7">
        <f t="shared" si="57"/>
        <v>0</v>
      </c>
      <c r="W89" s="2"/>
      <c r="X89" s="6">
        <f t="shared" si="58"/>
        <v>1446</v>
      </c>
      <c r="Y89" s="2"/>
      <c r="Z89" s="7">
        <f t="shared" si="59"/>
        <v>0</v>
      </c>
    </row>
    <row r="90" spans="1:26" s="29" customFormat="1" outlineLevel="1" collapsed="1" x14ac:dyDescent="0.25">
      <c r="A90" s="27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SUM(OSRRefD22_16x_0)</f>
        <v>0</v>
      </c>
      <c r="E90" s="1"/>
      <c r="F90" s="5">
        <f t="shared" ref="F90:F91" si="60">IF(D$12=0,0,D90/D$12)</f>
        <v>0</v>
      </c>
      <c r="G90" s="1"/>
      <c r="H90" s="1">
        <f>SUM(OSRRefH22_16x_0)</f>
        <v>350</v>
      </c>
      <c r="I90" s="1"/>
      <c r="J90" s="5">
        <f t="shared" ref="J90:J91" si="61">IF(H$12=0,0,H90/H$12)</f>
        <v>2.0989379374036737E-3</v>
      </c>
      <c r="K90" s="1"/>
      <c r="L90" s="1">
        <f t="shared" ref="L90:L91" si="62">+D90-H90</f>
        <v>-350</v>
      </c>
      <c r="M90" s="1"/>
      <c r="N90" s="5">
        <f t="shared" ref="N90:N91" si="63">IF(H90=0,0,L90/H90)</f>
        <v>-1</v>
      </c>
      <c r="O90" s="14"/>
      <c r="P90" s="1">
        <f>SUM(OSRRefP22_16x_0)</f>
        <v>735</v>
      </c>
      <c r="Q90" s="1"/>
      <c r="R90" s="5">
        <f t="shared" ref="R90:R91" si="64">IF(P$12=0,0,P90/P$12)</f>
        <v>1.3930511424895724E-3</v>
      </c>
      <c r="S90" s="1"/>
      <c r="T90" s="1">
        <f>SUM(OSRRefT22_16x_0)</f>
        <v>1400</v>
      </c>
      <c r="U90" s="1"/>
      <c r="V90" s="5">
        <f t="shared" ref="V90:V91" si="65">IF(T$12=0,0,T90/T$12)</f>
        <v>2.0552842091046152E-3</v>
      </c>
      <c r="W90" s="1"/>
      <c r="X90" s="1">
        <f t="shared" ref="X90:X91" si="66">+P90-T90</f>
        <v>-665</v>
      </c>
      <c r="Y90" s="1"/>
      <c r="Z90" s="5">
        <f t="shared" ref="Z90:Z91" si="67">IF(T90=0,0,X90/T90)</f>
        <v>-0.47499999999999998</v>
      </c>
    </row>
    <row r="91" spans="1:26" s="24" customFormat="1" hidden="1" outlineLevel="2" x14ac:dyDescent="0.25">
      <c r="A91" s="28"/>
      <c r="B91" s="11" t="str">
        <f>CONCATENATE("          ", "6376", " - ", "TRAINING")</f>
        <v xml:space="preserve">          6376 - TRAINING</v>
      </c>
      <c r="C91" s="11"/>
      <c r="D91" s="6"/>
      <c r="E91" s="2"/>
      <c r="F91" s="7">
        <f t="shared" si="60"/>
        <v>0</v>
      </c>
      <c r="G91" s="2"/>
      <c r="H91" s="6">
        <v>350</v>
      </c>
      <c r="I91" s="2"/>
      <c r="J91" s="7">
        <f t="shared" si="61"/>
        <v>2.0989379374036737E-3</v>
      </c>
      <c r="K91" s="2"/>
      <c r="L91" s="6">
        <f t="shared" si="62"/>
        <v>-350</v>
      </c>
      <c r="M91" s="2"/>
      <c r="N91" s="7">
        <f t="shared" si="63"/>
        <v>-1</v>
      </c>
      <c r="O91" s="11"/>
      <c r="P91" s="6">
        <v>735</v>
      </c>
      <c r="Q91" s="2"/>
      <c r="R91" s="7">
        <f t="shared" si="64"/>
        <v>1.3930511424895724E-3</v>
      </c>
      <c r="S91" s="2"/>
      <c r="T91" s="6">
        <v>1400</v>
      </c>
      <c r="U91" s="2"/>
      <c r="V91" s="7">
        <f t="shared" si="65"/>
        <v>2.0552842091046152E-3</v>
      </c>
      <c r="W91" s="2"/>
      <c r="X91" s="6">
        <f t="shared" si="66"/>
        <v>-665</v>
      </c>
      <c r="Y91" s="2"/>
      <c r="Z91" s="7">
        <f t="shared" si="67"/>
        <v>-0.47499999999999998</v>
      </c>
    </row>
    <row r="92" spans="1:26" s="62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6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5" t="s">
        <v>3</v>
      </c>
      <c r="C95" s="25"/>
      <c r="D95" s="21">
        <f>+D23-D25+D93</f>
        <v>-69121.12000000001</v>
      </c>
      <c r="E95" s="13"/>
      <c r="F95" s="20">
        <f>IF(D$12=0,0,D95/D$12)</f>
        <v>-0.64144090236800344</v>
      </c>
      <c r="G95" s="13"/>
      <c r="H95" s="21">
        <f>+H23-H25+H93</f>
        <v>-8915.0721675193054</v>
      </c>
      <c r="I95" s="13"/>
      <c r="J95" s="20">
        <f>IF(H$12=0,0,H95/H$12)</f>
        <v>-5.3463380534565341E-2</v>
      </c>
      <c r="K95" s="16"/>
      <c r="L95" s="21">
        <f>+D95-H95</f>
        <v>-60206.047832480705</v>
      </c>
      <c r="M95" s="16"/>
      <c r="N95" s="20">
        <f>IF(H95=0,0,L95/H95)</f>
        <v>6.7532877694285167</v>
      </c>
      <c r="O95" s="26"/>
      <c r="P95" s="21">
        <f>+P23-P25+P93</f>
        <v>-256330.49999999988</v>
      </c>
      <c r="Q95" s="13"/>
      <c r="R95" s="20">
        <f>IF(P$12=0,0,P95/P$12)</f>
        <v>-0.48582516446248053</v>
      </c>
      <c r="S95" s="13"/>
      <c r="T95" s="21">
        <f>+T23-T25+T93</f>
        <v>-125641.18297223095</v>
      </c>
      <c r="U95" s="13"/>
      <c r="V95" s="20">
        <f>IF(T$12=0,0,T95/T$12)</f>
        <v>-0.1844488138400357</v>
      </c>
      <c r="W95" s="16"/>
      <c r="X95" s="21">
        <f>+P95-T95</f>
        <v>-130689.31702776894</v>
      </c>
      <c r="Y95" s="16"/>
      <c r="Z95" s="20">
        <f>IF(T95=0,0,X95/T95)</f>
        <v>1.0401789758430857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-7112</v>
      </c>
      <c r="E97" s="4"/>
      <c r="F97" s="12">
        <f>IF(D$12=0,0,D97/D$12)</f>
        <v>-6.5999041937417097E-2</v>
      </c>
      <c r="G97" s="4"/>
      <c r="H97" s="4">
        <v>37266</v>
      </c>
      <c r="I97" s="4"/>
      <c r="J97" s="12">
        <f>IF(H$12=0,0,H97/H$12)</f>
        <v>0.22348291764367231</v>
      </c>
      <c r="K97" s="4"/>
      <c r="L97" s="4">
        <f>+D97-H97</f>
        <v>-44378</v>
      </c>
      <c r="M97" s="4"/>
      <c r="N97" s="12">
        <f>IF(H97=0,0,L97/H97)</f>
        <v>-1.1908442011484999</v>
      </c>
      <c r="O97" s="10"/>
      <c r="P97" s="4">
        <v>83838.64</v>
      </c>
      <c r="Q97" s="4"/>
      <c r="R97" s="12">
        <f>IF(P$12=0,0,P97/P$12)</f>
        <v>0.15890001800921355</v>
      </c>
      <c r="S97" s="4"/>
      <c r="T97" s="4">
        <v>121487</v>
      </c>
      <c r="U97" s="4"/>
      <c r="V97" s="12">
        <f>IF(T$12=0,0,T97/T$12)</f>
        <v>0.17835022336535172</v>
      </c>
      <c r="W97" s="4"/>
      <c r="X97" s="4">
        <f>+P97-T97</f>
        <v>-37648.36</v>
      </c>
      <c r="Y97" s="4"/>
      <c r="Z97" s="12">
        <f>IF(T97=0,0,X97/T97)</f>
        <v>-0.30989620288590547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4</v>
      </c>
      <c r="C99" s="25"/>
      <c r="D99" s="31">
        <f>+D95-D97</f>
        <v>-62009.12000000001</v>
      </c>
      <c r="E99" s="13"/>
      <c r="F99" s="34">
        <f>IF(D$12=0,0,D99/D$12)</f>
        <v>-0.57544186043058632</v>
      </c>
      <c r="G99" s="13"/>
      <c r="H99" s="31">
        <f>+H95-H97</f>
        <v>-46181.072167519305</v>
      </c>
      <c r="I99" s="13"/>
      <c r="J99" s="34">
        <f>IF(H$12=0,0,H99/H$12)</f>
        <v>-0.27694629817823763</v>
      </c>
      <c r="K99" s="16"/>
      <c r="L99" s="31">
        <f>D99-H99</f>
        <v>-15828.047832480705</v>
      </c>
      <c r="M99" s="16"/>
      <c r="N99" s="34">
        <f>IF(H99=0,0,L99/H99)</f>
        <v>0.34273885576032814</v>
      </c>
      <c r="O99" s="26"/>
      <c r="P99" s="31">
        <f>+P95-P97</f>
        <v>-340169.1399999999</v>
      </c>
      <c r="Q99" s="13"/>
      <c r="R99" s="34">
        <f>IF(P$12=0,0,P99/P$12)</f>
        <v>-0.64472518247169408</v>
      </c>
      <c r="S99" s="13"/>
      <c r="T99" s="31">
        <f>+T95-T97</f>
        <v>-247128.18297223095</v>
      </c>
      <c r="U99" s="13"/>
      <c r="V99" s="34">
        <f>IF(T$12=0,0,T99/T$12)</f>
        <v>-0.36279903720538742</v>
      </c>
      <c r="W99" s="16"/>
      <c r="X99" s="31">
        <f>P99-T99</f>
        <v>-93040.957027768949</v>
      </c>
      <c r="Y99" s="16"/>
      <c r="Z99" s="34">
        <f>IF(T99=0,0,X99/T99)</f>
        <v>0.37648865422291267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5</v>
      </c>
      <c r="C102" s="25"/>
      <c r="D102" s="33">
        <f>SUM(D99:D101)</f>
        <v>-62009.12000000001</v>
      </c>
      <c r="E102" s="13"/>
      <c r="F102" s="30">
        <f>IF(D$12=0,0,D102/D$12)</f>
        <v>-0.57544186043058632</v>
      </c>
      <c r="G102" s="13"/>
      <c r="H102" s="33">
        <f>SUM(H99:H101)</f>
        <v>-46181.072167519305</v>
      </c>
      <c r="I102" s="13"/>
      <c r="J102" s="30">
        <f>IF(H$12=0,0,H102/H$12)</f>
        <v>-0.27694629817823763</v>
      </c>
      <c r="K102" s="16"/>
      <c r="L102" s="33">
        <f>+D102-H102</f>
        <v>-15828.047832480705</v>
      </c>
      <c r="M102" s="16"/>
      <c r="N102" s="30">
        <f>IF(H102=0,0,L102/H102)</f>
        <v>0.34273885576032814</v>
      </c>
      <c r="O102" s="26"/>
      <c r="P102" s="33">
        <f>SUM(P99:P101)</f>
        <v>-340169.1399999999</v>
      </c>
      <c r="Q102" s="13"/>
      <c r="R102" s="30">
        <f>IF(P$12=0,0,P102/P$12)</f>
        <v>-0.64472518247169408</v>
      </c>
      <c r="S102" s="13"/>
      <c r="T102" s="33">
        <f>SUM(T99:T101)</f>
        <v>-247128.18297223095</v>
      </c>
      <c r="U102" s="13"/>
      <c r="V102" s="30">
        <f>IF(T$12=0,0,T102/T$12)</f>
        <v>-0.36279903720538742</v>
      </c>
      <c r="W102" s="16"/>
      <c r="X102" s="33">
        <f>+P102-T102</f>
        <v>-93040.957027768949</v>
      </c>
      <c r="Y102" s="16"/>
      <c r="Z102" s="30">
        <f>IF(T102=0,0,X102/T102)</f>
        <v>0.37648865422291267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5">
        <v>44174.680136921299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7" t="s">
        <v>314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3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52899</v>
      </c>
      <c r="I12" s="4"/>
      <c r="J12" s="12"/>
      <c r="K12" s="4"/>
      <c r="L12" s="4">
        <f t="shared" ref="L12:L14" si="0">+D12-H12</f>
        <v>-52899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225738</v>
      </c>
      <c r="U12" s="4"/>
      <c r="V12" s="12"/>
      <c r="W12" s="4"/>
      <c r="X12" s="4">
        <f t="shared" ref="X12:X14" si="2">+P12-T12</f>
        <v>-225738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52899</v>
      </c>
      <c r="I13" s="2"/>
      <c r="J13" s="22"/>
      <c r="K13" s="2"/>
      <c r="L13" s="2">
        <f t="shared" si="0"/>
        <v>-52899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225738</v>
      </c>
      <c r="U13" s="2"/>
      <c r="V13" s="22"/>
      <c r="W13" s="2"/>
      <c r="X13" s="2">
        <f t="shared" si="2"/>
        <v>-225738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/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13754</v>
      </c>
      <c r="I16" s="4"/>
      <c r="J16" s="12">
        <f t="shared" ref="J16:J17" si="7">IF(H$12=0,0,H16/H$12)</f>
        <v>0.26000491502674911</v>
      </c>
      <c r="K16" s="4"/>
      <c r="L16" s="4">
        <f t="shared" ref="L16:L17" si="8">+D16-H16</f>
        <v>-13754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60100.999999999993</v>
      </c>
      <c r="U16" s="4"/>
      <c r="V16" s="12">
        <f t="shared" ref="V16:V17" si="11">IF(T$12=0,0,T16/T$12)</f>
        <v>0.26624228087428786</v>
      </c>
      <c r="W16" s="4"/>
      <c r="X16" s="4">
        <f t="shared" ref="X16:X17" si="12">+P16-T16</f>
        <v>-60100.999999999993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13754</v>
      </c>
      <c r="I17" s="2"/>
      <c r="J17" s="22">
        <f t="shared" si="7"/>
        <v>0.26000491502674911</v>
      </c>
      <c r="K17" s="2"/>
      <c r="L17" s="2">
        <f t="shared" si="8"/>
        <v>-13754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60100.999999999993</v>
      </c>
      <c r="U17" s="2"/>
      <c r="V17" s="22">
        <f t="shared" si="11"/>
        <v>0.26624228087428786</v>
      </c>
      <c r="W17" s="2"/>
      <c r="X17" s="2">
        <f t="shared" si="12"/>
        <v>-60100.999999999993</v>
      </c>
      <c r="Y17" s="2"/>
      <c r="Z17" s="22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39145</v>
      </c>
      <c r="I19" s="13"/>
      <c r="J19" s="20">
        <f>IF(H$12=0,0,H19/H$12)</f>
        <v>0.73999508497325095</v>
      </c>
      <c r="K19" s="16"/>
      <c r="L19" s="21">
        <f>+D19-H19</f>
        <v>-39145</v>
      </c>
      <c r="M19" s="16"/>
      <c r="N19" s="20">
        <f>IF(H19=0,0,L19/H19)</f>
        <v>-1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165637</v>
      </c>
      <c r="U19" s="13"/>
      <c r="V19" s="20">
        <f>IF(T$12=0,0,T19/T$12)</f>
        <v>0.73375771912571208</v>
      </c>
      <c r="W19" s="16"/>
      <c r="X19" s="21">
        <f>+P19-T19</f>
        <v>-165637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19">
        <f>SUM(OSRRefD22x_0)</f>
        <v>41541.9</v>
      </c>
      <c r="E21" s="19"/>
      <c r="F21" s="35">
        <f t="shared" ref="F21:F32" si="14">IF(D$12=0,0,D21/D$12)</f>
        <v>0</v>
      </c>
      <c r="G21" s="19"/>
      <c r="H21" s="19">
        <f>SUM(OSRRefH22x_0)</f>
        <v>88374.40204558766</v>
      </c>
      <c r="I21" s="19"/>
      <c r="J21" s="35">
        <f t="shared" ref="J21:J32" si="15">IF(H$12=0,0,H21/H$12)</f>
        <v>1.6706251922642708</v>
      </c>
      <c r="K21" s="4"/>
      <c r="L21" s="19">
        <f t="shared" ref="L21:L32" si="16">+D21-H21</f>
        <v>-46832.502045587658</v>
      </c>
      <c r="M21" s="4"/>
      <c r="N21" s="35">
        <f t="shared" ref="N21:N32" si="17">IF(H21=0,0,L21/H21)</f>
        <v>-0.52993288736968491</v>
      </c>
      <c r="O21" s="10"/>
      <c r="P21" s="19">
        <f>SUM(OSRRefP22x_0)</f>
        <v>211039.80000000002</v>
      </c>
      <c r="Q21" s="19"/>
      <c r="R21" s="35">
        <f t="shared" ref="R21:R32" si="18">IF(P$12=0,0,P21/P$12)</f>
        <v>0</v>
      </c>
      <c r="S21" s="19"/>
      <c r="T21" s="19">
        <f>SUM(OSRRefT22x_0)</f>
        <v>453932.60425073205</v>
      </c>
      <c r="U21" s="19"/>
      <c r="V21" s="35">
        <f t="shared" ref="V21:V32" si="19">IF(T$12=0,0,T21/T$12)</f>
        <v>2.0108825463622964</v>
      </c>
      <c r="W21" s="4"/>
      <c r="X21" s="19">
        <f t="shared" ref="X21:X32" si="20">+P21-T21</f>
        <v>-242892.80425073204</v>
      </c>
      <c r="Y21" s="4"/>
      <c r="Z21" s="35">
        <f t="shared" ref="Z21:Z32" si="21">IF(T21=0,0,X21/T21)</f>
        <v>-0.53508560957337381</v>
      </c>
    </row>
    <row r="22" spans="1:26" s="29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20032.95</v>
      </c>
      <c r="E22" s="1"/>
      <c r="F22" s="5">
        <f t="shared" si="14"/>
        <v>0</v>
      </c>
      <c r="G22" s="1"/>
      <c r="H22" s="1">
        <f>SUM(OSRRefH22_0x_0)</f>
        <v>28095.789587126124</v>
      </c>
      <c r="I22" s="1"/>
      <c r="J22" s="5">
        <f t="shared" si="15"/>
        <v>0.53112137445180674</v>
      </c>
      <c r="K22" s="1"/>
      <c r="L22" s="1">
        <f t="shared" si="16"/>
        <v>-8062.8395871261237</v>
      </c>
      <c r="M22" s="1"/>
      <c r="N22" s="5">
        <f t="shared" si="17"/>
        <v>-0.28697679280815186</v>
      </c>
      <c r="O22" s="14"/>
      <c r="P22" s="1">
        <f>SUM(OSRRefP22_0x_0)</f>
        <v>99007.260000000009</v>
      </c>
      <c r="Q22" s="1"/>
      <c r="R22" s="5">
        <f t="shared" si="18"/>
        <v>0</v>
      </c>
      <c r="S22" s="1"/>
      <c r="T22" s="1">
        <f>SUM(OSRRefT22_0x_0)</f>
        <v>152024.06572919368</v>
      </c>
      <c r="U22" s="1"/>
      <c r="V22" s="5">
        <f t="shared" si="19"/>
        <v>0.67345358658796339</v>
      </c>
      <c r="W22" s="1"/>
      <c r="X22" s="1">
        <f t="shared" si="20"/>
        <v>-53016.805729193671</v>
      </c>
      <c r="Y22" s="1"/>
      <c r="Z22" s="5">
        <f t="shared" si="21"/>
        <v>-0.34873955958811514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6">
        <v>1650.74</v>
      </c>
      <c r="E23" s="2"/>
      <c r="F23" s="7">
        <f t="shared" si="14"/>
        <v>0</v>
      </c>
      <c r="G23" s="2"/>
      <c r="H23" s="6">
        <v>2637.7353029723099</v>
      </c>
      <c r="I23" s="2"/>
      <c r="J23" s="7">
        <f t="shared" si="15"/>
        <v>4.9863613735085917E-2</v>
      </c>
      <c r="K23" s="2"/>
      <c r="L23" s="6">
        <f t="shared" si="16"/>
        <v>-986.9953029723099</v>
      </c>
      <c r="M23" s="2"/>
      <c r="N23" s="7">
        <f t="shared" si="17"/>
        <v>-0.37418284611807806</v>
      </c>
      <c r="O23" s="11"/>
      <c r="P23" s="6">
        <v>8764.26</v>
      </c>
      <c r="Q23" s="2"/>
      <c r="R23" s="7">
        <f t="shared" si="18"/>
        <v>0</v>
      </c>
      <c r="S23" s="2"/>
      <c r="T23" s="6">
        <v>14871.06166634769</v>
      </c>
      <c r="U23" s="2"/>
      <c r="V23" s="7">
        <f t="shared" si="19"/>
        <v>6.5877529110507274E-2</v>
      </c>
      <c r="W23" s="2"/>
      <c r="X23" s="6">
        <f t="shared" si="20"/>
        <v>-6106.8016663476901</v>
      </c>
      <c r="Y23" s="2"/>
      <c r="Z23" s="7">
        <f t="shared" si="21"/>
        <v>-0.41065001298239595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6">
        <v>1428.3</v>
      </c>
      <c r="E24" s="2"/>
      <c r="F24" s="7">
        <f t="shared" si="14"/>
        <v>0</v>
      </c>
      <c r="G24" s="2"/>
      <c r="H24" s="6">
        <v>1879.6284803999997</v>
      </c>
      <c r="I24" s="2"/>
      <c r="J24" s="7">
        <f t="shared" si="15"/>
        <v>3.5532400998128502E-2</v>
      </c>
      <c r="K24" s="2"/>
      <c r="L24" s="6">
        <f t="shared" si="16"/>
        <v>-451.32848039999976</v>
      </c>
      <c r="M24" s="2"/>
      <c r="N24" s="7">
        <f t="shared" si="17"/>
        <v>-0.24011579155469784</v>
      </c>
      <c r="O24" s="11"/>
      <c r="P24" s="6">
        <v>4763.79</v>
      </c>
      <c r="Q24" s="2"/>
      <c r="R24" s="7">
        <f t="shared" si="18"/>
        <v>0</v>
      </c>
      <c r="S24" s="2"/>
      <c r="T24" s="6">
        <v>9834.3535422000004</v>
      </c>
      <c r="U24" s="2"/>
      <c r="V24" s="7">
        <f t="shared" si="19"/>
        <v>4.3565343638200041E-2</v>
      </c>
      <c r="W24" s="2"/>
      <c r="X24" s="6">
        <f t="shared" si="20"/>
        <v>-5070.5635422000005</v>
      </c>
      <c r="Y24" s="2"/>
      <c r="Z24" s="7">
        <f t="shared" si="21"/>
        <v>-0.5155970364947533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6">
        <v>12616.92</v>
      </c>
      <c r="E25" s="2"/>
      <c r="F25" s="7">
        <f t="shared" si="14"/>
        <v>0</v>
      </c>
      <c r="G25" s="2"/>
      <c r="H25" s="6">
        <v>19310.769230769198</v>
      </c>
      <c r="I25" s="2"/>
      <c r="J25" s="7">
        <f t="shared" si="15"/>
        <v>0.36504979736420723</v>
      </c>
      <c r="K25" s="2"/>
      <c r="L25" s="6">
        <f t="shared" si="16"/>
        <v>-6693.8492307691977</v>
      </c>
      <c r="M25" s="2"/>
      <c r="N25" s="7">
        <f t="shared" si="17"/>
        <v>-0.34663814531548642</v>
      </c>
      <c r="O25" s="11"/>
      <c r="P25" s="6">
        <v>63084.659999999996</v>
      </c>
      <c r="Q25" s="2"/>
      <c r="R25" s="7">
        <f t="shared" si="18"/>
        <v>0</v>
      </c>
      <c r="S25" s="2"/>
      <c r="T25" s="6">
        <v>104229.23076923061</v>
      </c>
      <c r="U25" s="2"/>
      <c r="V25" s="7">
        <f t="shared" si="19"/>
        <v>0.46172656251597255</v>
      </c>
      <c r="W25" s="2"/>
      <c r="X25" s="6">
        <f t="shared" si="20"/>
        <v>-41144.57076923061</v>
      </c>
      <c r="Y25" s="2"/>
      <c r="Z25" s="7">
        <f t="shared" si="21"/>
        <v>-0.39475078598946017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6">
        <v>86.56</v>
      </c>
      <c r="E26" s="2"/>
      <c r="F26" s="7">
        <f t="shared" si="14"/>
        <v>0</v>
      </c>
      <c r="G26" s="2"/>
      <c r="H26" s="6">
        <v>113.91687760000001</v>
      </c>
      <c r="I26" s="2"/>
      <c r="J26" s="7">
        <f t="shared" si="15"/>
        <v>2.1534788483714251E-3</v>
      </c>
      <c r="K26" s="2"/>
      <c r="L26" s="6">
        <f t="shared" si="16"/>
        <v>-27.356877600000004</v>
      </c>
      <c r="M26" s="2"/>
      <c r="N26" s="7">
        <f t="shared" si="17"/>
        <v>-0.24014771275648097</v>
      </c>
      <c r="O26" s="11"/>
      <c r="P26" s="6">
        <v>297.38</v>
      </c>
      <c r="Q26" s="2"/>
      <c r="R26" s="7">
        <f t="shared" si="18"/>
        <v>0</v>
      </c>
      <c r="S26" s="2"/>
      <c r="T26" s="6">
        <v>596.02142679999997</v>
      </c>
      <c r="U26" s="2"/>
      <c r="V26" s="7">
        <f t="shared" si="19"/>
        <v>2.6403238568606081E-3</v>
      </c>
      <c r="W26" s="2"/>
      <c r="X26" s="6">
        <f t="shared" si="20"/>
        <v>-298.64142679999998</v>
      </c>
      <c r="Y26" s="2"/>
      <c r="Z26" s="7">
        <f t="shared" si="21"/>
        <v>-0.50105820591616357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6">
        <v>603.29999999999995</v>
      </c>
      <c r="E27" s="2"/>
      <c r="F27" s="7">
        <f t="shared" si="14"/>
        <v>0</v>
      </c>
      <c r="G27" s="2"/>
      <c r="H27" s="6">
        <v>808.168461538462</v>
      </c>
      <c r="I27" s="2"/>
      <c r="J27" s="7">
        <f t="shared" si="15"/>
        <v>1.5277575408579784E-2</v>
      </c>
      <c r="K27" s="2"/>
      <c r="L27" s="6">
        <f t="shared" si="16"/>
        <v>-204.86846153846204</v>
      </c>
      <c r="M27" s="2"/>
      <c r="N27" s="7">
        <f t="shared" si="17"/>
        <v>-0.25349722401746067</v>
      </c>
      <c r="O27" s="11"/>
      <c r="P27" s="6">
        <v>2786.11</v>
      </c>
      <c r="Q27" s="2"/>
      <c r="R27" s="7">
        <f t="shared" si="18"/>
        <v>0</v>
      </c>
      <c r="S27" s="2"/>
      <c r="T27" s="6">
        <v>4444.9265384615464</v>
      </c>
      <c r="U27" s="2"/>
      <c r="V27" s="7">
        <f t="shared" si="19"/>
        <v>1.9690643748334558E-2</v>
      </c>
      <c r="W27" s="2"/>
      <c r="X27" s="6">
        <f t="shared" si="20"/>
        <v>-1658.8165384615463</v>
      </c>
      <c r="Y27" s="2"/>
      <c r="Z27" s="7">
        <f t="shared" si="21"/>
        <v>-0.37319324045244778</v>
      </c>
    </row>
    <row r="28" spans="1:26" s="24" customFormat="1" hidden="1" outlineLevel="2" x14ac:dyDescent="0.25">
      <c r="A28" s="28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8"/>
      <c r="B29" s="11" t="str">
        <f>CONCATENATE("          ", "6117", " - ", "RETIREMENT STAFF HOURLY")</f>
        <v xml:space="preserve">          6117 - RETIREMENT STAFF HOURLY</v>
      </c>
      <c r="C29" s="11"/>
      <c r="D29" s="6">
        <v>574.07000000000005</v>
      </c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574.07000000000005</v>
      </c>
      <c r="M29" s="2"/>
      <c r="N29" s="7">
        <f t="shared" si="17"/>
        <v>0</v>
      </c>
      <c r="O29" s="11"/>
      <c r="P29" s="6">
        <v>2904.9</v>
      </c>
      <c r="Q29" s="2"/>
      <c r="R29" s="7">
        <f t="shared" si="18"/>
        <v>0</v>
      </c>
      <c r="S29" s="2"/>
      <c r="T29" s="6"/>
      <c r="U29" s="2"/>
      <c r="V29" s="7">
        <f t="shared" si="19"/>
        <v>0</v>
      </c>
      <c r="W29" s="2"/>
      <c r="X29" s="6">
        <f t="shared" si="20"/>
        <v>2904.9</v>
      </c>
      <c r="Y29" s="2"/>
      <c r="Z29" s="7">
        <f t="shared" si="21"/>
        <v>0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6">
        <v>1242.1400000000001</v>
      </c>
      <c r="E30" s="2"/>
      <c r="F30" s="7">
        <f t="shared" si="14"/>
        <v>0</v>
      </c>
      <c r="G30" s="2"/>
      <c r="H30" s="6">
        <v>1943.1995692307701</v>
      </c>
      <c r="I30" s="2"/>
      <c r="J30" s="7">
        <f t="shared" si="15"/>
        <v>3.6734145621481883E-2</v>
      </c>
      <c r="K30" s="2"/>
      <c r="L30" s="6">
        <f t="shared" si="16"/>
        <v>-701.05956923076997</v>
      </c>
      <c r="M30" s="2"/>
      <c r="N30" s="7">
        <f t="shared" si="17"/>
        <v>-0.36077589781902308</v>
      </c>
      <c r="O30" s="11"/>
      <c r="P30" s="6">
        <v>6767.93</v>
      </c>
      <c r="Q30" s="2"/>
      <c r="R30" s="7">
        <f t="shared" si="18"/>
        <v>0</v>
      </c>
      <c r="S30" s="2"/>
      <c r="T30" s="6">
        <v>10687.597630769231</v>
      </c>
      <c r="U30" s="2"/>
      <c r="V30" s="7">
        <f t="shared" si="19"/>
        <v>4.7345141849264326E-2</v>
      </c>
      <c r="W30" s="2"/>
      <c r="X30" s="6">
        <f t="shared" si="20"/>
        <v>-3919.6676307692305</v>
      </c>
      <c r="Y30" s="2"/>
      <c r="Z30" s="7">
        <f t="shared" si="21"/>
        <v>-0.36674917658619938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6">
        <v>946.52</v>
      </c>
      <c r="E31" s="2"/>
      <c r="F31" s="7">
        <f t="shared" si="14"/>
        <v>0</v>
      </c>
      <c r="G31" s="2"/>
      <c r="H31" s="6">
        <v>1402.37166461538</v>
      </c>
      <c r="I31" s="2"/>
      <c r="J31" s="7">
        <f t="shared" si="15"/>
        <v>2.6510362475951909E-2</v>
      </c>
      <c r="K31" s="2"/>
      <c r="L31" s="6">
        <f t="shared" si="16"/>
        <v>-455.85166461538006</v>
      </c>
      <c r="M31" s="2"/>
      <c r="N31" s="7">
        <f t="shared" si="17"/>
        <v>-0.32505766917388745</v>
      </c>
      <c r="O31" s="11"/>
      <c r="P31" s="6">
        <v>5205.8500000000004</v>
      </c>
      <c r="Q31" s="2"/>
      <c r="R31" s="7">
        <f t="shared" si="18"/>
        <v>0</v>
      </c>
      <c r="S31" s="2"/>
      <c r="T31" s="6">
        <v>7360.8741553846003</v>
      </c>
      <c r="U31" s="2"/>
      <c r="V31" s="7">
        <f t="shared" si="19"/>
        <v>3.2608041868824038E-2</v>
      </c>
      <c r="W31" s="2"/>
      <c r="X31" s="6">
        <f t="shared" si="20"/>
        <v>-2155.0241553845999</v>
      </c>
      <c r="Y31" s="2"/>
      <c r="Z31" s="7">
        <f t="shared" si="21"/>
        <v>-0.29276742271271738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6">
        <v>884.4</v>
      </c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884.4</v>
      </c>
      <c r="M32" s="2"/>
      <c r="N32" s="7">
        <f t="shared" si="17"/>
        <v>0</v>
      </c>
      <c r="O32" s="11"/>
      <c r="P32" s="6">
        <v>4432.38</v>
      </c>
      <c r="Q32" s="2"/>
      <c r="R32" s="7">
        <f t="shared" si="18"/>
        <v>0</v>
      </c>
      <c r="S32" s="2"/>
      <c r="T32" s="6"/>
      <c r="U32" s="2"/>
      <c r="V32" s="7">
        <f t="shared" si="19"/>
        <v>0</v>
      </c>
      <c r="W32" s="2"/>
      <c r="X32" s="6">
        <f t="shared" si="20"/>
        <v>4432.38</v>
      </c>
      <c r="Y32" s="2"/>
      <c r="Z32" s="7">
        <f t="shared" si="21"/>
        <v>0</v>
      </c>
    </row>
    <row r="33" spans="1:26" s="29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21240.030000000002</v>
      </c>
      <c r="E33" s="1"/>
      <c r="F33" s="5">
        <f t="shared" ref="F33:F43" si="22">IF(D$12=0,0,D33/D$12)</f>
        <v>0</v>
      </c>
      <c r="G33" s="1"/>
      <c r="H33" s="1">
        <f>SUM(OSRRefH22_1x_0)</f>
        <v>40468.612458461539</v>
      </c>
      <c r="I33" s="1"/>
      <c r="J33" s="5">
        <f t="shared" ref="J33:J43" si="23">IF(H$12=0,0,H33/H$12)</f>
        <v>0.7650165874300372</v>
      </c>
      <c r="K33" s="1"/>
      <c r="L33" s="1">
        <f t="shared" ref="L33:L43" si="24">+D33-H33</f>
        <v>-19228.582458461537</v>
      </c>
      <c r="M33" s="1"/>
      <c r="N33" s="5">
        <f t="shared" ref="N33:N43" si="25">IF(H33=0,0,L33/H33)</f>
        <v>-0.47514805401836929</v>
      </c>
      <c r="O33" s="14"/>
      <c r="P33" s="1">
        <f>SUM(OSRRefP22_1x_0)</f>
        <v>106708.81999999999</v>
      </c>
      <c r="Q33" s="1"/>
      <c r="R33" s="5">
        <f t="shared" ref="R33:R43" si="26">IF(P$12=0,0,P33/P$12)</f>
        <v>0</v>
      </c>
      <c r="S33" s="1"/>
      <c r="T33" s="1">
        <f>SUM(OSRRefT22_1x_0)</f>
        <v>211190.5385215384</v>
      </c>
      <c r="U33" s="1"/>
      <c r="V33" s="5">
        <f t="shared" ref="V33:V43" si="27">IF(T$12=0,0,T33/T$12)</f>
        <v>0.93555599199752992</v>
      </c>
      <c r="W33" s="1"/>
      <c r="X33" s="1">
        <f t="shared" ref="X33:X43" si="28">+P33-T33</f>
        <v>-104481.71852153841</v>
      </c>
      <c r="Y33" s="1"/>
      <c r="Z33" s="5">
        <f t="shared" ref="Z33:Z43" si="29">IF(T33=0,0,X33/T33)</f>
        <v>-0.49472726975826509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6">
        <v>4397.32</v>
      </c>
      <c r="E35" s="2"/>
      <c r="F35" s="7">
        <f t="shared" si="22"/>
        <v>0</v>
      </c>
      <c r="G35" s="2"/>
      <c r="H35" s="6">
        <v>8337.7115384615408</v>
      </c>
      <c r="I35" s="2"/>
      <c r="J35" s="7">
        <f t="shared" si="23"/>
        <v>0.1576156739912199</v>
      </c>
      <c r="K35" s="2"/>
      <c r="L35" s="6">
        <f t="shared" si="24"/>
        <v>-3940.3915384615411</v>
      </c>
      <c r="M35" s="2"/>
      <c r="N35" s="7">
        <f t="shared" si="25"/>
        <v>-0.47259868853517745</v>
      </c>
      <c r="O35" s="11"/>
      <c r="P35" s="6">
        <v>23085.919999999998</v>
      </c>
      <c r="Q35" s="2"/>
      <c r="R35" s="7">
        <f t="shared" si="26"/>
        <v>0</v>
      </c>
      <c r="S35" s="2"/>
      <c r="T35" s="6">
        <v>45857.413461538417</v>
      </c>
      <c r="U35" s="2"/>
      <c r="V35" s="7">
        <f t="shared" si="27"/>
        <v>0.20314441282167123</v>
      </c>
      <c r="W35" s="2"/>
      <c r="X35" s="6">
        <f t="shared" si="28"/>
        <v>-22771.493461538419</v>
      </c>
      <c r="Y35" s="2"/>
      <c r="Z35" s="7">
        <f t="shared" si="29"/>
        <v>-0.49657169348719049</v>
      </c>
    </row>
    <row r="36" spans="1:26" s="24" customFormat="1" hidden="1" outlineLevel="2" x14ac:dyDescent="0.25">
      <c r="A36" s="28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6">
        <v>16842.710000000003</v>
      </c>
      <c r="E37" s="2"/>
      <c r="F37" s="7">
        <f t="shared" si="22"/>
        <v>0</v>
      </c>
      <c r="G37" s="2"/>
      <c r="H37" s="6">
        <v>23063.825919999999</v>
      </c>
      <c r="I37" s="2"/>
      <c r="J37" s="7">
        <f t="shared" si="23"/>
        <v>0.43599738974271723</v>
      </c>
      <c r="K37" s="2"/>
      <c r="L37" s="6">
        <f t="shared" si="24"/>
        <v>-6221.1159199999965</v>
      </c>
      <c r="M37" s="2"/>
      <c r="N37" s="7">
        <f t="shared" si="25"/>
        <v>-0.2697347760765616</v>
      </c>
      <c r="O37" s="11"/>
      <c r="P37" s="6">
        <v>83622.899999999994</v>
      </c>
      <c r="Q37" s="2"/>
      <c r="R37" s="7">
        <f t="shared" si="26"/>
        <v>0</v>
      </c>
      <c r="S37" s="2"/>
      <c r="T37" s="6">
        <v>126851.04256</v>
      </c>
      <c r="U37" s="2"/>
      <c r="V37" s="7">
        <f t="shared" si="27"/>
        <v>0.56193925063569272</v>
      </c>
      <c r="W37" s="2"/>
      <c r="X37" s="6">
        <f t="shared" si="28"/>
        <v>-43228.142560000008</v>
      </c>
      <c r="Y37" s="2"/>
      <c r="Z37" s="7">
        <f t="shared" si="29"/>
        <v>-0.34077877239009119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2703.875</v>
      </c>
      <c r="I38" s="2"/>
      <c r="J38" s="7">
        <f t="shared" si="23"/>
        <v>5.1113915196884629E-2</v>
      </c>
      <c r="K38" s="2"/>
      <c r="L38" s="6">
        <f t="shared" si="24"/>
        <v>-2703.875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10992.282499999999</v>
      </c>
      <c r="U38" s="2"/>
      <c r="V38" s="7">
        <f t="shared" si="27"/>
        <v>4.8694869716219683E-2</v>
      </c>
      <c r="W38" s="2"/>
      <c r="X38" s="6">
        <f t="shared" si="28"/>
        <v>-10992.282499999999</v>
      </c>
      <c r="Y38" s="2"/>
      <c r="Z38" s="7">
        <f t="shared" si="29"/>
        <v>-1</v>
      </c>
    </row>
    <row r="39" spans="1:26" s="24" customFormat="1" hidden="1" outlineLevel="2" x14ac:dyDescent="0.25">
      <c r="A39" s="28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8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>
        <v>0</v>
      </c>
      <c r="Q40" s="2"/>
      <c r="R40" s="7">
        <f t="shared" si="26"/>
        <v>0</v>
      </c>
      <c r="S40" s="2"/>
      <c r="T40" s="6">
        <v>4607.5</v>
      </c>
      <c r="U40" s="2"/>
      <c r="V40" s="7">
        <f t="shared" si="27"/>
        <v>2.0410830254542878E-2</v>
      </c>
      <c r="W40" s="2"/>
      <c r="X40" s="6">
        <f t="shared" si="28"/>
        <v>-4607.5</v>
      </c>
      <c r="Y40" s="2"/>
      <c r="Z40" s="7">
        <f t="shared" si="29"/>
        <v>-1</v>
      </c>
    </row>
    <row r="41" spans="1:26" s="24" customFormat="1" hidden="1" outlineLevel="2" x14ac:dyDescent="0.25">
      <c r="A41" s="28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6363.2</v>
      </c>
      <c r="I41" s="2"/>
      <c r="J41" s="7">
        <f t="shared" si="23"/>
        <v>0.12028960849921548</v>
      </c>
      <c r="K41" s="2"/>
      <c r="L41" s="6">
        <f t="shared" si="24"/>
        <v>-6363.2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22882.3</v>
      </c>
      <c r="U41" s="2"/>
      <c r="V41" s="7">
        <f t="shared" si="27"/>
        <v>0.10136662856940347</v>
      </c>
      <c r="W41" s="2"/>
      <c r="X41" s="6">
        <f t="shared" si="28"/>
        <v>-22882.3</v>
      </c>
      <c r="Y41" s="2"/>
      <c r="Z41" s="7">
        <f t="shared" si="29"/>
        <v>-1</v>
      </c>
    </row>
    <row r="42" spans="1:26" s="24" customFormat="1" hidden="1" outlineLevel="2" x14ac:dyDescent="0.25">
      <c r="A42" s="28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25">
      <c r="A43" s="28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9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5.6711847104860208E-3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4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1600</v>
      </c>
      <c r="U44" s="1"/>
      <c r="V44" s="5">
        <f t="shared" ref="V44:V69" si="35">IF(T$12=0,0,T44/T$12)</f>
        <v>7.0878629207311132E-3</v>
      </c>
      <c r="W44" s="1"/>
      <c r="X44" s="1">
        <f t="shared" ref="X44:X69" si="36">+P44-T44</f>
        <v>-1600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>
        <v>300</v>
      </c>
      <c r="I45" s="2"/>
      <c r="J45" s="7">
        <f t="shared" si="31"/>
        <v>5.6711847104860208E-3</v>
      </c>
      <c r="K45" s="2"/>
      <c r="L45" s="6">
        <f t="shared" si="32"/>
        <v>-300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1600</v>
      </c>
      <c r="U45" s="2"/>
      <c r="V45" s="7">
        <f t="shared" si="35"/>
        <v>7.0878629207311132E-3</v>
      </c>
      <c r="W45" s="2"/>
      <c r="X45" s="6">
        <f t="shared" si="36"/>
        <v>-1600</v>
      </c>
      <c r="Y45" s="2"/>
      <c r="Z45" s="7">
        <f t="shared" si="37"/>
        <v>-1</v>
      </c>
    </row>
    <row r="46" spans="1:26" s="29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1.5123159227962721E-4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32</v>
      </c>
      <c r="U46" s="1"/>
      <c r="V46" s="5">
        <f t="shared" si="35"/>
        <v>1.4175725841462225E-4</v>
      </c>
      <c r="W46" s="1"/>
      <c r="X46" s="1">
        <f t="shared" si="36"/>
        <v>-2.2600000000000016</v>
      </c>
      <c r="Y46" s="1"/>
      <c r="Z46" s="5">
        <f t="shared" si="37"/>
        <v>-7.0625000000000049E-2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30"/>
        <v>0</v>
      </c>
      <c r="G47" s="2"/>
      <c r="H47" s="6">
        <v>8</v>
      </c>
      <c r="I47" s="2"/>
      <c r="J47" s="7">
        <f t="shared" si="31"/>
        <v>1.5123159227962721E-4</v>
      </c>
      <c r="K47" s="2"/>
      <c r="L47" s="6">
        <f t="shared" si="32"/>
        <v>-8</v>
      </c>
      <c r="M47" s="2"/>
      <c r="N47" s="7">
        <f t="shared" si="33"/>
        <v>-1</v>
      </c>
      <c r="O47" s="11"/>
      <c r="P47" s="6">
        <v>29.74</v>
      </c>
      <c r="Q47" s="2"/>
      <c r="R47" s="7">
        <f t="shared" si="34"/>
        <v>0</v>
      </c>
      <c r="S47" s="2"/>
      <c r="T47" s="6">
        <v>32</v>
      </c>
      <c r="U47" s="2"/>
      <c r="V47" s="7">
        <f t="shared" si="35"/>
        <v>1.4175725841462225E-4</v>
      </c>
      <c r="W47" s="2"/>
      <c r="X47" s="6">
        <f t="shared" si="36"/>
        <v>-2.2600000000000016</v>
      </c>
      <c r="Y47" s="2"/>
      <c r="Z47" s="7">
        <f t="shared" si="37"/>
        <v>-7.0625000000000049E-2</v>
      </c>
    </row>
    <row r="48" spans="1:26" s="29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1.8903949034953401E-4</v>
      </c>
      <c r="K48" s="1"/>
      <c r="L48" s="1">
        <f t="shared" si="32"/>
        <v>-10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40</v>
      </c>
      <c r="U48" s="1"/>
      <c r="V48" s="5">
        <f t="shared" si="35"/>
        <v>1.7719657301827784E-4</v>
      </c>
      <c r="W48" s="1"/>
      <c r="X48" s="1">
        <f t="shared" si="36"/>
        <v>-40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30"/>
        <v>0</v>
      </c>
      <c r="G49" s="2"/>
      <c r="H49" s="6">
        <v>10</v>
      </c>
      <c r="I49" s="2"/>
      <c r="J49" s="7">
        <f t="shared" si="31"/>
        <v>1.8903949034953401E-4</v>
      </c>
      <c r="K49" s="2"/>
      <c r="L49" s="6">
        <f t="shared" si="32"/>
        <v>-10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40</v>
      </c>
      <c r="U49" s="2"/>
      <c r="V49" s="7">
        <f t="shared" si="35"/>
        <v>1.7719657301827784E-4</v>
      </c>
      <c r="W49" s="2"/>
      <c r="X49" s="6">
        <f t="shared" si="36"/>
        <v>-40</v>
      </c>
      <c r="Y49" s="2"/>
      <c r="Z49" s="7">
        <f t="shared" si="37"/>
        <v>-1</v>
      </c>
    </row>
    <row r="50" spans="1:26" s="29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4.0265411444450746E-3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4"/>
      <c r="P50" s="1">
        <f>SUM(OSRRefP22_5x_0)</f>
        <v>1065.0999999999999</v>
      </c>
      <c r="Q50" s="1"/>
      <c r="R50" s="5">
        <f t="shared" si="34"/>
        <v>0</v>
      </c>
      <c r="S50" s="1"/>
      <c r="T50" s="1">
        <f>SUM(OSRRefT22_5x_0)</f>
        <v>1065</v>
      </c>
      <c r="U50" s="1"/>
      <c r="V50" s="5">
        <f t="shared" si="35"/>
        <v>4.7178587566116467E-3</v>
      </c>
      <c r="W50" s="1"/>
      <c r="X50" s="1">
        <f t="shared" si="36"/>
        <v>9.9999999999909051E-2</v>
      </c>
      <c r="Y50" s="1"/>
      <c r="Z50" s="5">
        <f t="shared" si="37"/>
        <v>9.389671361493808E-5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213.02</v>
      </c>
      <c r="E51" s="2"/>
      <c r="F51" s="7">
        <f t="shared" si="30"/>
        <v>0</v>
      </c>
      <c r="G51" s="2"/>
      <c r="H51" s="6">
        <v>213</v>
      </c>
      <c r="I51" s="2"/>
      <c r="J51" s="7">
        <f t="shared" si="31"/>
        <v>4.0265411444450746E-3</v>
      </c>
      <c r="K51" s="2"/>
      <c r="L51" s="6">
        <f t="shared" si="32"/>
        <v>2.0000000000010232E-2</v>
      </c>
      <c r="M51" s="2"/>
      <c r="N51" s="7">
        <f t="shared" si="33"/>
        <v>9.3896713615071505E-5</v>
      </c>
      <c r="O51" s="11"/>
      <c r="P51" s="6">
        <v>1065.0999999999999</v>
      </c>
      <c r="Q51" s="2"/>
      <c r="R51" s="7">
        <f t="shared" si="34"/>
        <v>0</v>
      </c>
      <c r="S51" s="2"/>
      <c r="T51" s="6">
        <v>1065</v>
      </c>
      <c r="U51" s="2"/>
      <c r="V51" s="7">
        <f t="shared" si="35"/>
        <v>4.7178587566116467E-3</v>
      </c>
      <c r="W51" s="2"/>
      <c r="X51" s="6">
        <f t="shared" si="36"/>
        <v>9.9999999999909051E-2</v>
      </c>
      <c r="Y51" s="2"/>
      <c r="Z51" s="7">
        <f t="shared" si="37"/>
        <v>9.389671361493808E-5</v>
      </c>
    </row>
    <row r="52" spans="1:26" s="29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5.0530255770430445E-2</v>
      </c>
      <c r="K52" s="1"/>
      <c r="L52" s="1">
        <f t="shared" si="32"/>
        <v>-2673</v>
      </c>
      <c r="M52" s="1"/>
      <c r="N52" s="5">
        <f t="shared" si="33"/>
        <v>-1</v>
      </c>
      <c r="O52" s="14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10692</v>
      </c>
      <c r="U52" s="1"/>
      <c r="V52" s="5">
        <f t="shared" si="35"/>
        <v>4.7364643967785662E-2</v>
      </c>
      <c r="W52" s="1"/>
      <c r="X52" s="1">
        <f t="shared" si="36"/>
        <v>-10692</v>
      </c>
      <c r="Y52" s="1"/>
      <c r="Z52" s="5">
        <f t="shared" si="37"/>
        <v>-1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30"/>
        <v>0</v>
      </c>
      <c r="G53" s="2"/>
      <c r="H53" s="6">
        <v>2673</v>
      </c>
      <c r="I53" s="2"/>
      <c r="J53" s="7">
        <f t="shared" si="31"/>
        <v>5.0530255770430445E-2</v>
      </c>
      <c r="K53" s="2"/>
      <c r="L53" s="6">
        <f t="shared" si="32"/>
        <v>-2673</v>
      </c>
      <c r="M53" s="2"/>
      <c r="N53" s="7">
        <f t="shared" si="33"/>
        <v>-1</v>
      </c>
      <c r="O53" s="11"/>
      <c r="P53" s="6"/>
      <c r="Q53" s="2"/>
      <c r="R53" s="7">
        <f t="shared" si="34"/>
        <v>0</v>
      </c>
      <c r="S53" s="2"/>
      <c r="T53" s="6">
        <v>10692</v>
      </c>
      <c r="U53" s="2"/>
      <c r="V53" s="7">
        <f t="shared" si="35"/>
        <v>4.7364643967785662E-2</v>
      </c>
      <c r="W53" s="2"/>
      <c r="X53" s="6">
        <f t="shared" si="36"/>
        <v>-10692</v>
      </c>
      <c r="Y53" s="2"/>
      <c r="Z53" s="7">
        <f t="shared" si="37"/>
        <v>-1</v>
      </c>
    </row>
    <row r="54" spans="1:26" s="29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9.4519745174767014E-4</v>
      </c>
      <c r="K54" s="1"/>
      <c r="L54" s="1">
        <f t="shared" si="32"/>
        <v>-50</v>
      </c>
      <c r="M54" s="1"/>
      <c r="N54" s="5">
        <f t="shared" si="33"/>
        <v>-1</v>
      </c>
      <c r="O54" s="14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200</v>
      </c>
      <c r="U54" s="1"/>
      <c r="V54" s="5">
        <f t="shared" si="35"/>
        <v>8.8598286509138915E-4</v>
      </c>
      <c r="W54" s="1"/>
      <c r="X54" s="1">
        <f t="shared" si="36"/>
        <v>-200</v>
      </c>
      <c r="Y54" s="1"/>
      <c r="Z54" s="5">
        <f t="shared" si="37"/>
        <v>-1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30"/>
        <v>0</v>
      </c>
      <c r="G55" s="2"/>
      <c r="H55" s="6">
        <v>50</v>
      </c>
      <c r="I55" s="2"/>
      <c r="J55" s="7">
        <f t="shared" si="31"/>
        <v>9.4519745174767014E-4</v>
      </c>
      <c r="K55" s="2"/>
      <c r="L55" s="6">
        <f t="shared" si="32"/>
        <v>-50</v>
      </c>
      <c r="M55" s="2"/>
      <c r="N55" s="7">
        <f t="shared" si="33"/>
        <v>-1</v>
      </c>
      <c r="O55" s="11"/>
      <c r="P55" s="6"/>
      <c r="Q55" s="2"/>
      <c r="R55" s="7">
        <f t="shared" si="34"/>
        <v>0</v>
      </c>
      <c r="S55" s="2"/>
      <c r="T55" s="6">
        <v>200</v>
      </c>
      <c r="U55" s="2"/>
      <c r="V55" s="7">
        <f t="shared" si="35"/>
        <v>8.8598286509138915E-4</v>
      </c>
      <c r="W55" s="2"/>
      <c r="X55" s="6">
        <f t="shared" si="36"/>
        <v>-200</v>
      </c>
      <c r="Y55" s="2"/>
      <c r="Z55" s="7">
        <f t="shared" si="37"/>
        <v>-1</v>
      </c>
    </row>
    <row r="56" spans="1:26" s="29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4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>
        <v>20</v>
      </c>
      <c r="Q57" s="2"/>
      <c r="R57" s="7">
        <f t="shared" si="34"/>
        <v>0</v>
      </c>
      <c r="S57" s="2"/>
      <c r="T57" s="6"/>
      <c r="U57" s="2"/>
      <c r="V57" s="7">
        <f t="shared" si="35"/>
        <v>0</v>
      </c>
      <c r="W57" s="2"/>
      <c r="X57" s="6">
        <f t="shared" si="36"/>
        <v>20</v>
      </c>
      <c r="Y57" s="2"/>
      <c r="Z57" s="7">
        <f t="shared" si="37"/>
        <v>0</v>
      </c>
    </row>
    <row r="58" spans="1:26" s="29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1.8903949034953401E-4</v>
      </c>
      <c r="K58" s="1"/>
      <c r="L58" s="1">
        <f t="shared" si="32"/>
        <v>-10</v>
      </c>
      <c r="M58" s="1"/>
      <c r="N58" s="5">
        <f t="shared" si="33"/>
        <v>-1</v>
      </c>
      <c r="O58" s="14"/>
      <c r="P58" s="1">
        <f>SUM(OSRRefP22_9x_0)</f>
        <v>1439.55</v>
      </c>
      <c r="Q58" s="1"/>
      <c r="R58" s="5">
        <f t="shared" si="34"/>
        <v>0</v>
      </c>
      <c r="S58" s="1"/>
      <c r="T58" s="1">
        <f>SUM(OSRRefT22_9x_0)</f>
        <v>1640</v>
      </c>
      <c r="U58" s="1"/>
      <c r="V58" s="5">
        <f t="shared" si="35"/>
        <v>7.2650594937493911E-3</v>
      </c>
      <c r="W58" s="1"/>
      <c r="X58" s="1">
        <f t="shared" si="36"/>
        <v>-200.45000000000005</v>
      </c>
      <c r="Y58" s="1"/>
      <c r="Z58" s="5">
        <f t="shared" si="37"/>
        <v>-0.12222560975609759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0"/>
        <v>0</v>
      </c>
      <c r="G59" s="2"/>
      <c r="H59" s="6">
        <v>10</v>
      </c>
      <c r="I59" s="2"/>
      <c r="J59" s="7">
        <f t="shared" si="31"/>
        <v>1.8903949034953401E-4</v>
      </c>
      <c r="K59" s="2"/>
      <c r="L59" s="6">
        <f t="shared" si="32"/>
        <v>-10</v>
      </c>
      <c r="M59" s="2"/>
      <c r="N59" s="7">
        <f t="shared" si="33"/>
        <v>-1</v>
      </c>
      <c r="O59" s="11"/>
      <c r="P59" s="6">
        <v>1439.55</v>
      </c>
      <c r="Q59" s="2"/>
      <c r="R59" s="7">
        <f t="shared" si="34"/>
        <v>0</v>
      </c>
      <c r="S59" s="2"/>
      <c r="T59" s="6">
        <v>1640</v>
      </c>
      <c r="U59" s="2"/>
      <c r="V59" s="7">
        <f t="shared" si="35"/>
        <v>7.2650594937493911E-3</v>
      </c>
      <c r="W59" s="2"/>
      <c r="X59" s="6">
        <f t="shared" si="36"/>
        <v>-200.45000000000005</v>
      </c>
      <c r="Y59" s="2"/>
      <c r="Z59" s="7">
        <f t="shared" si="37"/>
        <v>-0.12222560975609759</v>
      </c>
    </row>
    <row r="60" spans="1:26" s="29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1.3232764324467382E-4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4"/>
      <c r="P60" s="1">
        <f>SUM(OSRRefP22_10x_0)</f>
        <v>29.5</v>
      </c>
      <c r="Q60" s="1"/>
      <c r="R60" s="5">
        <f t="shared" si="34"/>
        <v>0</v>
      </c>
      <c r="S60" s="1"/>
      <c r="T60" s="1">
        <f>SUM(OSRRefT22_10x_0)</f>
        <v>35</v>
      </c>
      <c r="U60" s="1"/>
      <c r="V60" s="5">
        <f t="shared" si="35"/>
        <v>1.550470013909931E-4</v>
      </c>
      <c r="W60" s="1"/>
      <c r="X60" s="1">
        <f t="shared" si="36"/>
        <v>-5.5</v>
      </c>
      <c r="Y60" s="1"/>
      <c r="Z60" s="5">
        <f t="shared" si="37"/>
        <v>-0.15714285714285714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30"/>
        <v>0</v>
      </c>
      <c r="G61" s="2"/>
      <c r="H61" s="6">
        <v>7</v>
      </c>
      <c r="I61" s="2"/>
      <c r="J61" s="7">
        <f t="shared" si="31"/>
        <v>1.3232764324467382E-4</v>
      </c>
      <c r="K61" s="2"/>
      <c r="L61" s="6">
        <f t="shared" si="32"/>
        <v>-1.0999999999999996</v>
      </c>
      <c r="M61" s="2"/>
      <c r="N61" s="7">
        <f t="shared" si="33"/>
        <v>-0.15714285714285708</v>
      </c>
      <c r="O61" s="11"/>
      <c r="P61" s="6">
        <v>29.5</v>
      </c>
      <c r="Q61" s="2"/>
      <c r="R61" s="7">
        <f t="shared" si="34"/>
        <v>0</v>
      </c>
      <c r="S61" s="2"/>
      <c r="T61" s="6">
        <v>35</v>
      </c>
      <c r="U61" s="2"/>
      <c r="V61" s="7">
        <f t="shared" si="35"/>
        <v>1.550470013909931E-4</v>
      </c>
      <c r="W61" s="2"/>
      <c r="X61" s="6">
        <f t="shared" si="36"/>
        <v>-5.5</v>
      </c>
      <c r="Y61" s="2"/>
      <c r="Z61" s="7">
        <f t="shared" si="37"/>
        <v>-0.15714285714285714</v>
      </c>
    </row>
    <row r="62" spans="1:26" s="29" customFormat="1" outlineLevel="1" collapsed="1" x14ac:dyDescent="0.2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4232</v>
      </c>
      <c r="I62" s="1"/>
      <c r="J62" s="5">
        <f t="shared" si="31"/>
        <v>8.0001512315922799E-2</v>
      </c>
      <c r="K62" s="1"/>
      <c r="L62" s="1">
        <f t="shared" si="32"/>
        <v>-4232</v>
      </c>
      <c r="M62" s="1"/>
      <c r="N62" s="5">
        <f t="shared" si="33"/>
        <v>-1</v>
      </c>
      <c r="O62" s="14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18059</v>
      </c>
      <c r="U62" s="1"/>
      <c r="V62" s="5">
        <f t="shared" si="35"/>
        <v>7.9999822803426976E-2</v>
      </c>
      <c r="W62" s="1"/>
      <c r="X62" s="1">
        <f t="shared" si="36"/>
        <v>-18059</v>
      </c>
      <c r="Y62" s="1"/>
      <c r="Z62" s="5">
        <f t="shared" si="37"/>
        <v>-1</v>
      </c>
    </row>
    <row r="63" spans="1:26" s="24" customFormat="1" hidden="1" outlineLevel="2" x14ac:dyDescent="0.25">
      <c r="A63" s="28"/>
      <c r="B63" s="11" t="str">
        <f>CONCATENATE("          ", "6387", " - ", "COMMISSION DUE HOUSING")</f>
        <v xml:space="preserve">          6387 - COMMISSION DUE HOUSING</v>
      </c>
      <c r="C63" s="11"/>
      <c r="D63" s="6"/>
      <c r="E63" s="2"/>
      <c r="F63" s="7">
        <f t="shared" si="30"/>
        <v>0</v>
      </c>
      <c r="G63" s="2"/>
      <c r="H63" s="6">
        <v>4232</v>
      </c>
      <c r="I63" s="2"/>
      <c r="J63" s="7">
        <f t="shared" si="31"/>
        <v>8.0001512315922799E-2</v>
      </c>
      <c r="K63" s="2"/>
      <c r="L63" s="6">
        <f t="shared" si="32"/>
        <v>-4232</v>
      </c>
      <c r="M63" s="2"/>
      <c r="N63" s="7">
        <f t="shared" si="33"/>
        <v>-1</v>
      </c>
      <c r="O63" s="11"/>
      <c r="P63" s="6"/>
      <c r="Q63" s="2"/>
      <c r="R63" s="7">
        <f t="shared" si="34"/>
        <v>0</v>
      </c>
      <c r="S63" s="2"/>
      <c r="T63" s="6">
        <v>18059</v>
      </c>
      <c r="U63" s="2"/>
      <c r="V63" s="7">
        <f t="shared" si="35"/>
        <v>7.9999822803426976E-2</v>
      </c>
      <c r="W63" s="2"/>
      <c r="X63" s="6">
        <f t="shared" si="36"/>
        <v>-18059</v>
      </c>
      <c r="Y63" s="2"/>
      <c r="Z63" s="7">
        <f t="shared" si="37"/>
        <v>-1</v>
      </c>
    </row>
    <row r="64" spans="1:26" s="29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0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3.7807898069906802E-4</v>
      </c>
      <c r="K64" s="1"/>
      <c r="L64" s="1">
        <f t="shared" si="32"/>
        <v>-20</v>
      </c>
      <c r="M64" s="1"/>
      <c r="N64" s="5">
        <f t="shared" si="33"/>
        <v>-1</v>
      </c>
      <c r="O64" s="14"/>
      <c r="P64" s="1">
        <f>SUM(OSRRefP22_12x_0)</f>
        <v>72.349999999999994</v>
      </c>
      <c r="Q64" s="1"/>
      <c r="R64" s="5">
        <f t="shared" si="34"/>
        <v>0</v>
      </c>
      <c r="S64" s="1"/>
      <c r="T64" s="1">
        <f>SUM(OSRRefT22_12x_0)</f>
        <v>100</v>
      </c>
      <c r="U64" s="1"/>
      <c r="V64" s="5">
        <f t="shared" si="35"/>
        <v>4.4299143254569458E-4</v>
      </c>
      <c r="W64" s="1"/>
      <c r="X64" s="1">
        <f t="shared" si="36"/>
        <v>-27.650000000000006</v>
      </c>
      <c r="Y64" s="1"/>
      <c r="Z64" s="5">
        <f t="shared" si="37"/>
        <v>-0.27650000000000008</v>
      </c>
    </row>
    <row r="65" spans="1:26" s="24" customFormat="1" hidden="1" outlineLevel="2" x14ac:dyDescent="0.25">
      <c r="A65" s="28"/>
      <c r="B65" s="11" t="str">
        <f>CONCATENATE("          ", "6373", " - ", "MAINTENANCE CONTRACTS")</f>
        <v xml:space="preserve">          6373 - MAINTENANCE CONTRACTS</v>
      </c>
      <c r="C65" s="11"/>
      <c r="D65" s="6"/>
      <c r="E65" s="2"/>
      <c r="F65" s="7">
        <f t="shared" si="30"/>
        <v>0</v>
      </c>
      <c r="G65" s="2"/>
      <c r="H65" s="6">
        <v>20</v>
      </c>
      <c r="I65" s="2"/>
      <c r="J65" s="7">
        <f t="shared" si="31"/>
        <v>3.7807898069906802E-4</v>
      </c>
      <c r="K65" s="2"/>
      <c r="L65" s="6">
        <f t="shared" si="32"/>
        <v>-20</v>
      </c>
      <c r="M65" s="2"/>
      <c r="N65" s="7">
        <f t="shared" si="33"/>
        <v>-1</v>
      </c>
      <c r="O65" s="11"/>
      <c r="P65" s="6">
        <v>72.349999999999994</v>
      </c>
      <c r="Q65" s="2"/>
      <c r="R65" s="7">
        <f t="shared" si="34"/>
        <v>0</v>
      </c>
      <c r="S65" s="2"/>
      <c r="T65" s="6">
        <v>100</v>
      </c>
      <c r="U65" s="2"/>
      <c r="V65" s="7">
        <f t="shared" si="35"/>
        <v>4.4299143254569458E-4</v>
      </c>
      <c r="W65" s="2"/>
      <c r="X65" s="6">
        <f t="shared" si="36"/>
        <v>-27.650000000000006</v>
      </c>
      <c r="Y65" s="2"/>
      <c r="Z65" s="7">
        <f t="shared" si="37"/>
        <v>-0.27650000000000008</v>
      </c>
    </row>
    <row r="66" spans="1:26" s="29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0</v>
      </c>
      <c r="E66" s="1"/>
      <c r="F66" s="5">
        <f t="shared" si="30"/>
        <v>0</v>
      </c>
      <c r="G66" s="1"/>
      <c r="H66" s="1">
        <f>SUM(OSRRefH22_13x_0)</f>
        <v>6247</v>
      </c>
      <c r="I66" s="1"/>
      <c r="J66" s="5">
        <f t="shared" si="31"/>
        <v>0.1180929696213539</v>
      </c>
      <c r="K66" s="1"/>
      <c r="L66" s="1">
        <f t="shared" si="32"/>
        <v>-6247</v>
      </c>
      <c r="M66" s="1"/>
      <c r="N66" s="5">
        <f t="shared" si="33"/>
        <v>-1</v>
      </c>
      <c r="O66" s="14"/>
      <c r="P66" s="1">
        <f>SUM(OSRRefP22_13x_0)</f>
        <v>2080.69</v>
      </c>
      <c r="Q66" s="1"/>
      <c r="R66" s="5">
        <f t="shared" si="34"/>
        <v>0</v>
      </c>
      <c r="S66" s="1"/>
      <c r="T66" s="1">
        <f>SUM(OSRRefT22_13x_0)</f>
        <v>31235</v>
      </c>
      <c r="U66" s="1"/>
      <c r="V66" s="5">
        <f t="shared" si="35"/>
        <v>0.13836837395564769</v>
      </c>
      <c r="W66" s="1"/>
      <c r="X66" s="1">
        <f t="shared" si="36"/>
        <v>-29154.31</v>
      </c>
      <c r="Y66" s="1"/>
      <c r="Z66" s="5">
        <f t="shared" si="37"/>
        <v>-0.93338594525372187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30"/>
        <v>0</v>
      </c>
      <c r="G67" s="2"/>
      <c r="H67" s="6">
        <v>850</v>
      </c>
      <c r="I67" s="2"/>
      <c r="J67" s="7">
        <f t="shared" si="31"/>
        <v>1.6068356679710391E-2</v>
      </c>
      <c r="K67" s="2"/>
      <c r="L67" s="6">
        <f t="shared" si="32"/>
        <v>-850</v>
      </c>
      <c r="M67" s="2"/>
      <c r="N67" s="7">
        <f t="shared" si="33"/>
        <v>-1</v>
      </c>
      <c r="O67" s="11"/>
      <c r="P67" s="6">
        <v>2080.69</v>
      </c>
      <c r="Q67" s="2"/>
      <c r="R67" s="7">
        <f t="shared" si="34"/>
        <v>0</v>
      </c>
      <c r="S67" s="2"/>
      <c r="T67" s="6">
        <v>4250</v>
      </c>
      <c r="U67" s="2"/>
      <c r="V67" s="7">
        <f t="shared" si="35"/>
        <v>1.8827135883192018E-2</v>
      </c>
      <c r="W67" s="2"/>
      <c r="X67" s="6">
        <f t="shared" si="36"/>
        <v>-2169.31</v>
      </c>
      <c r="Y67" s="2"/>
      <c r="Z67" s="7">
        <f t="shared" si="37"/>
        <v>-0.51042588235294117</v>
      </c>
    </row>
    <row r="68" spans="1:26" s="24" customFormat="1" hidden="1" outlineLevel="2" x14ac:dyDescent="0.25">
      <c r="A68" s="28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30"/>
        <v>0</v>
      </c>
      <c r="G68" s="2"/>
      <c r="H68" s="6">
        <v>3897</v>
      </c>
      <c r="I68" s="2"/>
      <c r="J68" s="7">
        <f t="shared" si="31"/>
        <v>7.3668689389213407E-2</v>
      </c>
      <c r="K68" s="2"/>
      <c r="L68" s="6">
        <f t="shared" si="32"/>
        <v>-3897</v>
      </c>
      <c r="M68" s="2"/>
      <c r="N68" s="7">
        <f t="shared" si="33"/>
        <v>-1</v>
      </c>
      <c r="O68" s="11"/>
      <c r="P68" s="6"/>
      <c r="Q68" s="2"/>
      <c r="R68" s="7">
        <f t="shared" si="34"/>
        <v>0</v>
      </c>
      <c r="S68" s="2"/>
      <c r="T68" s="6">
        <v>19485</v>
      </c>
      <c r="U68" s="2"/>
      <c r="V68" s="7">
        <f t="shared" si="35"/>
        <v>8.6316880631528592E-2</v>
      </c>
      <c r="W68" s="2"/>
      <c r="X68" s="6">
        <f t="shared" si="36"/>
        <v>-19485</v>
      </c>
      <c r="Y68" s="2"/>
      <c r="Z68" s="7">
        <f t="shared" si="37"/>
        <v>-1</v>
      </c>
    </row>
    <row r="69" spans="1:26" s="24" customFormat="1" hidden="1" outlineLevel="2" x14ac:dyDescent="0.25">
      <c r="A69" s="28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30"/>
        <v>0</v>
      </c>
      <c r="G69" s="2"/>
      <c r="H69" s="6">
        <v>1500</v>
      </c>
      <c r="I69" s="2"/>
      <c r="J69" s="7">
        <f t="shared" si="31"/>
        <v>2.8355923552430103E-2</v>
      </c>
      <c r="K69" s="2"/>
      <c r="L69" s="6">
        <f t="shared" si="32"/>
        <v>-1500</v>
      </c>
      <c r="M69" s="2"/>
      <c r="N69" s="7">
        <f t="shared" si="33"/>
        <v>-1</v>
      </c>
      <c r="O69" s="11"/>
      <c r="P69" s="6"/>
      <c r="Q69" s="2"/>
      <c r="R69" s="7">
        <f t="shared" si="34"/>
        <v>0</v>
      </c>
      <c r="S69" s="2"/>
      <c r="T69" s="6">
        <v>7500</v>
      </c>
      <c r="U69" s="2"/>
      <c r="V69" s="7">
        <f t="shared" si="35"/>
        <v>3.3224357440927089E-2</v>
      </c>
      <c r="W69" s="2"/>
      <c r="X69" s="6">
        <f t="shared" si="36"/>
        <v>-7500</v>
      </c>
      <c r="Y69" s="2"/>
      <c r="Z69" s="7">
        <f t="shared" si="37"/>
        <v>-1</v>
      </c>
    </row>
    <row r="70" spans="1:26" s="29" customFormat="1" outlineLevel="1" collapsed="1" x14ac:dyDescent="0.2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5700</v>
      </c>
      <c r="I70" s="1"/>
      <c r="J70" s="5">
        <f t="shared" ref="J70:J77" si="39">IF(H$12=0,0,H70/H$12)</f>
        <v>0.10775250949923439</v>
      </c>
      <c r="K70" s="1"/>
      <c r="L70" s="1">
        <f t="shared" ref="L70:L77" si="40">+D70-H70</f>
        <v>-5700</v>
      </c>
      <c r="M70" s="1"/>
      <c r="N70" s="5">
        <f t="shared" ref="N70:N77" si="41">IF(H70=0,0,L70/H70)</f>
        <v>-1</v>
      </c>
      <c r="O70" s="14"/>
      <c r="P70" s="1">
        <f>SUM(OSRRefP22_14x_0)</f>
        <v>57.16</v>
      </c>
      <c r="Q70" s="1"/>
      <c r="R70" s="5">
        <f t="shared" ref="R70:R77" si="42">IF(P$12=0,0,P70/P$12)</f>
        <v>0</v>
      </c>
      <c r="S70" s="1"/>
      <c r="T70" s="1">
        <f>SUM(OSRRefT22_14x_0)</f>
        <v>24320</v>
      </c>
      <c r="U70" s="1"/>
      <c r="V70" s="5">
        <f t="shared" ref="V70:V77" si="43">IF(T$12=0,0,T70/T$12)</f>
        <v>0.10773551639511292</v>
      </c>
      <c r="W70" s="1"/>
      <c r="X70" s="1">
        <f t="shared" ref="X70:X77" si="44">+P70-T70</f>
        <v>-24262.84</v>
      </c>
      <c r="Y70" s="1"/>
      <c r="Z70" s="5">
        <f t="shared" ref="Z70:Z77" si="45">IF(T70=0,0,X70/T70)</f>
        <v>-0.99764967105263158</v>
      </c>
    </row>
    <row r="71" spans="1:26" s="24" customFormat="1" hidden="1" outlineLevel="2" x14ac:dyDescent="0.25">
      <c r="A71" s="28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38"/>
        <v>0</v>
      </c>
      <c r="G71" s="2"/>
      <c r="H71" s="6">
        <v>3000</v>
      </c>
      <c r="I71" s="2"/>
      <c r="J71" s="7">
        <f t="shared" si="39"/>
        <v>5.6711847104860207E-2</v>
      </c>
      <c r="K71" s="2"/>
      <c r="L71" s="6">
        <f t="shared" si="40"/>
        <v>-3000</v>
      </c>
      <c r="M71" s="2"/>
      <c r="N71" s="7">
        <f t="shared" si="41"/>
        <v>-1</v>
      </c>
      <c r="O71" s="11"/>
      <c r="P71" s="6"/>
      <c r="Q71" s="2"/>
      <c r="R71" s="7">
        <f t="shared" si="42"/>
        <v>0</v>
      </c>
      <c r="S71" s="2"/>
      <c r="T71" s="6">
        <v>12000</v>
      </c>
      <c r="U71" s="2"/>
      <c r="V71" s="7">
        <f t="shared" si="43"/>
        <v>5.3158971905483347E-2</v>
      </c>
      <c r="W71" s="2"/>
      <c r="X71" s="6">
        <f t="shared" si="44"/>
        <v>-12000</v>
      </c>
      <c r="Y71" s="2"/>
      <c r="Z71" s="7">
        <f t="shared" si="45"/>
        <v>-1</v>
      </c>
    </row>
    <row r="72" spans="1:26" s="24" customFormat="1" hidden="1" outlineLevel="2" x14ac:dyDescent="0.25">
      <c r="A72" s="28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38"/>
        <v>0</v>
      </c>
      <c r="G72" s="2"/>
      <c r="H72" s="6">
        <v>2000</v>
      </c>
      <c r="I72" s="2"/>
      <c r="J72" s="7">
        <f t="shared" si="39"/>
        <v>3.7807898069906802E-2</v>
      </c>
      <c r="K72" s="2"/>
      <c r="L72" s="6">
        <f t="shared" si="40"/>
        <v>-2000</v>
      </c>
      <c r="M72" s="2"/>
      <c r="N72" s="7">
        <f t="shared" si="41"/>
        <v>-1</v>
      </c>
      <c r="O72" s="11"/>
      <c r="P72" s="6"/>
      <c r="Q72" s="2"/>
      <c r="R72" s="7">
        <f t="shared" si="42"/>
        <v>0</v>
      </c>
      <c r="S72" s="2"/>
      <c r="T72" s="6">
        <v>9000</v>
      </c>
      <c r="U72" s="2"/>
      <c r="V72" s="7">
        <f t="shared" si="43"/>
        <v>3.9869228929112509E-2</v>
      </c>
      <c r="W72" s="2"/>
      <c r="X72" s="6">
        <f t="shared" si="44"/>
        <v>-9000</v>
      </c>
      <c r="Y72" s="2"/>
      <c r="Z72" s="7">
        <f t="shared" si="45"/>
        <v>-1</v>
      </c>
    </row>
    <row r="73" spans="1:26" s="24" customFormat="1" hidden="1" outlineLevel="2" x14ac:dyDescent="0.25">
      <c r="A73" s="28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38"/>
        <v>0</v>
      </c>
      <c r="G73" s="2"/>
      <c r="H73" s="6">
        <v>300</v>
      </c>
      <c r="I73" s="2"/>
      <c r="J73" s="7">
        <f t="shared" si="39"/>
        <v>5.6711847104860208E-3</v>
      </c>
      <c r="K73" s="2"/>
      <c r="L73" s="6">
        <f t="shared" si="40"/>
        <v>-300</v>
      </c>
      <c r="M73" s="2"/>
      <c r="N73" s="7">
        <f t="shared" si="41"/>
        <v>-1</v>
      </c>
      <c r="O73" s="11"/>
      <c r="P73" s="6"/>
      <c r="Q73" s="2"/>
      <c r="R73" s="7">
        <f t="shared" si="42"/>
        <v>0</v>
      </c>
      <c r="S73" s="2"/>
      <c r="T73" s="6">
        <v>1200</v>
      </c>
      <c r="U73" s="2"/>
      <c r="V73" s="7">
        <f t="shared" si="43"/>
        <v>5.3158971905483349E-3</v>
      </c>
      <c r="W73" s="2"/>
      <c r="X73" s="6">
        <f t="shared" si="44"/>
        <v>-1200</v>
      </c>
      <c r="Y73" s="2"/>
      <c r="Z73" s="7">
        <f t="shared" si="45"/>
        <v>-1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38"/>
        <v>0</v>
      </c>
      <c r="G74" s="2"/>
      <c r="H74" s="6">
        <v>250</v>
      </c>
      <c r="I74" s="2"/>
      <c r="J74" s="7">
        <f t="shared" si="39"/>
        <v>4.7259872587383503E-3</v>
      </c>
      <c r="K74" s="2"/>
      <c r="L74" s="6">
        <f t="shared" si="40"/>
        <v>-250</v>
      </c>
      <c r="M74" s="2"/>
      <c r="N74" s="7">
        <f t="shared" si="41"/>
        <v>-1</v>
      </c>
      <c r="O74" s="11"/>
      <c r="P74" s="6">
        <v>57.16</v>
      </c>
      <c r="Q74" s="2"/>
      <c r="R74" s="7">
        <f t="shared" si="42"/>
        <v>0</v>
      </c>
      <c r="S74" s="2"/>
      <c r="T74" s="6">
        <v>1000</v>
      </c>
      <c r="U74" s="2"/>
      <c r="V74" s="7">
        <f t="shared" si="43"/>
        <v>4.4299143254569453E-3</v>
      </c>
      <c r="W74" s="2"/>
      <c r="X74" s="6">
        <f t="shared" si="44"/>
        <v>-942.84</v>
      </c>
      <c r="Y74" s="2"/>
      <c r="Z74" s="7">
        <f t="shared" si="45"/>
        <v>-0.94284000000000001</v>
      </c>
    </row>
    <row r="75" spans="1:26" s="24" customFormat="1" hidden="1" outlineLevel="2" x14ac:dyDescent="0.25">
      <c r="A75" s="28"/>
      <c r="B75" s="11" t="str">
        <f>CONCATENATE("          ", "6244", " - ", "SAFETY SUPPLY EXPENSE")</f>
        <v xml:space="preserve">          6244 - SAFETY SUPPLY EXPENSE</v>
      </c>
      <c r="C75" s="11"/>
      <c r="D75" s="6"/>
      <c r="E75" s="2"/>
      <c r="F75" s="7">
        <f t="shared" si="38"/>
        <v>0</v>
      </c>
      <c r="G75" s="2"/>
      <c r="H75" s="6"/>
      <c r="I75" s="2"/>
      <c r="J75" s="7">
        <f t="shared" si="39"/>
        <v>0</v>
      </c>
      <c r="K75" s="2"/>
      <c r="L75" s="6">
        <f t="shared" si="40"/>
        <v>0</v>
      </c>
      <c r="M75" s="2"/>
      <c r="N75" s="7">
        <f t="shared" si="41"/>
        <v>0</v>
      </c>
      <c r="O75" s="11"/>
      <c r="P75" s="6"/>
      <c r="Q75" s="2"/>
      <c r="R75" s="7">
        <f t="shared" si="42"/>
        <v>0</v>
      </c>
      <c r="S75" s="2"/>
      <c r="T75" s="6">
        <v>20</v>
      </c>
      <c r="U75" s="2"/>
      <c r="V75" s="7">
        <f t="shared" si="43"/>
        <v>8.8598286509138918E-5</v>
      </c>
      <c r="W75" s="2"/>
      <c r="X75" s="6">
        <f t="shared" si="44"/>
        <v>-20</v>
      </c>
      <c r="Y75" s="2"/>
      <c r="Z75" s="7">
        <f t="shared" si="45"/>
        <v>-1</v>
      </c>
    </row>
    <row r="76" spans="1:26" s="24" customFormat="1" hidden="1" outlineLevel="2" x14ac:dyDescent="0.25">
      <c r="A76" s="28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8"/>
        <v>0</v>
      </c>
      <c r="G76" s="2"/>
      <c r="H76" s="6"/>
      <c r="I76" s="2"/>
      <c r="J76" s="7">
        <f t="shared" si="39"/>
        <v>0</v>
      </c>
      <c r="K76" s="2"/>
      <c r="L76" s="6">
        <f t="shared" si="40"/>
        <v>0</v>
      </c>
      <c r="M76" s="2"/>
      <c r="N76" s="7">
        <f t="shared" si="41"/>
        <v>0</v>
      </c>
      <c r="O76" s="11"/>
      <c r="P76" s="6"/>
      <c r="Q76" s="2"/>
      <c r="R76" s="7">
        <f t="shared" si="42"/>
        <v>0</v>
      </c>
      <c r="S76" s="2"/>
      <c r="T76" s="6">
        <v>500</v>
      </c>
      <c r="U76" s="2"/>
      <c r="V76" s="7">
        <f t="shared" si="43"/>
        <v>2.2149571627284727E-3</v>
      </c>
      <c r="W76" s="2"/>
      <c r="X76" s="6">
        <f t="shared" si="44"/>
        <v>-500</v>
      </c>
      <c r="Y76" s="2"/>
      <c r="Z76" s="7">
        <f t="shared" si="45"/>
        <v>-1</v>
      </c>
    </row>
    <row r="77" spans="1:26" s="24" customFormat="1" hidden="1" outlineLevel="2" x14ac:dyDescent="0.25">
      <c r="A77" s="28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38"/>
        <v>0</v>
      </c>
      <c r="G77" s="2"/>
      <c r="H77" s="6">
        <v>150</v>
      </c>
      <c r="I77" s="2"/>
      <c r="J77" s="7">
        <f t="shared" si="39"/>
        <v>2.8355923552430104E-3</v>
      </c>
      <c r="K77" s="2"/>
      <c r="L77" s="6">
        <f t="shared" si="40"/>
        <v>-150</v>
      </c>
      <c r="M77" s="2"/>
      <c r="N77" s="7">
        <f t="shared" si="41"/>
        <v>-1</v>
      </c>
      <c r="O77" s="11"/>
      <c r="P77" s="6"/>
      <c r="Q77" s="2"/>
      <c r="R77" s="7">
        <f t="shared" si="42"/>
        <v>0</v>
      </c>
      <c r="S77" s="2"/>
      <c r="T77" s="6">
        <v>600</v>
      </c>
      <c r="U77" s="2"/>
      <c r="V77" s="7">
        <f t="shared" si="43"/>
        <v>2.6579485952741675E-3</v>
      </c>
      <c r="W77" s="2"/>
      <c r="X77" s="6">
        <f t="shared" si="44"/>
        <v>-600</v>
      </c>
      <c r="Y77" s="2"/>
      <c r="Z77" s="7">
        <f t="shared" si="45"/>
        <v>-1</v>
      </c>
    </row>
    <row r="78" spans="1:26" s="29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50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2.6465528648934762E-3</v>
      </c>
      <c r="K78" s="1"/>
      <c r="L78" s="1">
        <f t="shared" ref="L78:L80" si="48">+D78-H78</f>
        <v>-90</v>
      </c>
      <c r="M78" s="1"/>
      <c r="N78" s="5">
        <f t="shared" ref="N78:N80" si="49">IF(H78=0,0,L78/H78)</f>
        <v>-0.6428571428571429</v>
      </c>
      <c r="O78" s="14"/>
      <c r="P78" s="1">
        <f>SUM(OSRRefP22_15x_0)</f>
        <v>529.63</v>
      </c>
      <c r="Q78" s="1"/>
      <c r="R78" s="5">
        <f t="shared" ref="R78:R80" si="50">IF(P$12=0,0,P78/P$12)</f>
        <v>0</v>
      </c>
      <c r="S78" s="1"/>
      <c r="T78" s="1">
        <f>SUM(OSRRefT22_15x_0)</f>
        <v>700</v>
      </c>
      <c r="U78" s="1"/>
      <c r="V78" s="5">
        <f t="shared" ref="V78:V80" si="51">IF(T$12=0,0,T78/T$12)</f>
        <v>3.1009400278198618E-3</v>
      </c>
      <c r="W78" s="1"/>
      <c r="X78" s="1">
        <f t="shared" ref="X78:X80" si="52">+P78-T78</f>
        <v>-170.37</v>
      </c>
      <c r="Y78" s="1"/>
      <c r="Z78" s="5">
        <f t="shared" ref="Z78:Z80" si="53">IF(T78=0,0,X78/T78)</f>
        <v>-0.24338571428571429</v>
      </c>
    </row>
    <row r="79" spans="1:26" s="24" customFormat="1" hidden="1" outlineLevel="2" x14ac:dyDescent="0.25">
      <c r="A79" s="28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46"/>
        <v>0</v>
      </c>
      <c r="G79" s="2"/>
      <c r="H79" s="6">
        <v>140</v>
      </c>
      <c r="I79" s="2"/>
      <c r="J79" s="7">
        <f t="shared" si="47"/>
        <v>2.6465528648934762E-3</v>
      </c>
      <c r="K79" s="2"/>
      <c r="L79" s="6">
        <f t="shared" si="48"/>
        <v>-140</v>
      </c>
      <c r="M79" s="2"/>
      <c r="N79" s="7">
        <f t="shared" si="49"/>
        <v>-1</v>
      </c>
      <c r="O79" s="11"/>
      <c r="P79" s="6"/>
      <c r="Q79" s="2"/>
      <c r="R79" s="7">
        <f t="shared" si="50"/>
        <v>0</v>
      </c>
      <c r="S79" s="2"/>
      <c r="T79" s="6">
        <v>700</v>
      </c>
      <c r="U79" s="2"/>
      <c r="V79" s="7">
        <f t="shared" si="51"/>
        <v>3.1009400278198618E-3</v>
      </c>
      <c r="W79" s="2"/>
      <c r="X79" s="6">
        <f t="shared" si="52"/>
        <v>-700</v>
      </c>
      <c r="Y79" s="2"/>
      <c r="Z79" s="7">
        <f t="shared" si="53"/>
        <v>-1</v>
      </c>
    </row>
    <row r="80" spans="1:26" s="24" customFormat="1" hidden="1" outlineLevel="2" x14ac:dyDescent="0.25">
      <c r="A80" s="28"/>
      <c r="B80" s="11" t="str">
        <f>CONCATENATE("          ", "6309", " - ", "TELEPHONE")</f>
        <v xml:space="preserve">          6309 - TELEPHONE</v>
      </c>
      <c r="C80" s="11"/>
      <c r="D80" s="6">
        <v>50</v>
      </c>
      <c r="E80" s="2"/>
      <c r="F80" s="7">
        <f t="shared" si="46"/>
        <v>0</v>
      </c>
      <c r="G80" s="2"/>
      <c r="H80" s="6"/>
      <c r="I80" s="2"/>
      <c r="J80" s="7">
        <f t="shared" si="47"/>
        <v>0</v>
      </c>
      <c r="K80" s="2"/>
      <c r="L80" s="6">
        <f t="shared" si="48"/>
        <v>50</v>
      </c>
      <c r="M80" s="2"/>
      <c r="N80" s="7">
        <f t="shared" si="49"/>
        <v>0</v>
      </c>
      <c r="O80" s="11"/>
      <c r="P80" s="6">
        <v>529.63</v>
      </c>
      <c r="Q80" s="2"/>
      <c r="R80" s="7">
        <f t="shared" si="50"/>
        <v>0</v>
      </c>
      <c r="S80" s="2"/>
      <c r="T80" s="6"/>
      <c r="U80" s="2"/>
      <c r="V80" s="7">
        <f t="shared" si="51"/>
        <v>0</v>
      </c>
      <c r="W80" s="2"/>
      <c r="X80" s="6">
        <f t="shared" si="52"/>
        <v>529.63</v>
      </c>
      <c r="Y80" s="2"/>
      <c r="Z80" s="7">
        <f t="shared" si="53"/>
        <v>0</v>
      </c>
    </row>
    <row r="81" spans="1:26" s="29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3.7807898069906806E-3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4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1000</v>
      </c>
      <c r="U81" s="1"/>
      <c r="V81" s="5">
        <f t="shared" ref="V81:V82" si="59">IF(T$12=0,0,T81/T$12)</f>
        <v>4.4299143254569453E-3</v>
      </c>
      <c r="W81" s="1"/>
      <c r="X81" s="1">
        <f t="shared" ref="X81:X82" si="60">+P81-T81</f>
        <v>-1000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8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4"/>
        <v>0</v>
      </c>
      <c r="G82" s="2"/>
      <c r="H82" s="6">
        <v>200</v>
      </c>
      <c r="I82" s="2"/>
      <c r="J82" s="7">
        <f t="shared" si="55"/>
        <v>3.7807898069906806E-3</v>
      </c>
      <c r="K82" s="2"/>
      <c r="L82" s="6">
        <f t="shared" si="56"/>
        <v>-200</v>
      </c>
      <c r="M82" s="2"/>
      <c r="N82" s="7">
        <f t="shared" si="57"/>
        <v>-1</v>
      </c>
      <c r="O82" s="11"/>
      <c r="P82" s="6"/>
      <c r="Q82" s="2"/>
      <c r="R82" s="7">
        <f t="shared" si="58"/>
        <v>0</v>
      </c>
      <c r="S82" s="2"/>
      <c r="T82" s="6">
        <v>1000</v>
      </c>
      <c r="U82" s="2"/>
      <c r="V82" s="7">
        <f t="shared" si="59"/>
        <v>4.4299143254569453E-3</v>
      </c>
      <c r="W82" s="2"/>
      <c r="X82" s="6">
        <f t="shared" si="60"/>
        <v>-1000</v>
      </c>
      <c r="Y82" s="2"/>
      <c r="Z82" s="7">
        <f t="shared" si="61"/>
        <v>-1</v>
      </c>
    </row>
    <row r="83" spans="1:26" s="62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1">
        <f>+D19-D21+D84</f>
        <v>-41541.9</v>
      </c>
      <c r="E86" s="13"/>
      <c r="F86" s="20">
        <f>IF(D$12=0,0,D86/D$12)</f>
        <v>0</v>
      </c>
      <c r="G86" s="13"/>
      <c r="H86" s="21">
        <f>+H19-H21+H84</f>
        <v>-49229.40204558766</v>
      </c>
      <c r="I86" s="13"/>
      <c r="J86" s="20">
        <f>IF(H$12=0,0,H86/H$12)</f>
        <v>-0.93063010729101991</v>
      </c>
      <c r="K86" s="16"/>
      <c r="L86" s="21">
        <f>+D86-H86</f>
        <v>7687.5020455876584</v>
      </c>
      <c r="M86" s="16"/>
      <c r="N86" s="20">
        <f>IF(H86=0,0,L86/H86)</f>
        <v>-0.1561567219213599</v>
      </c>
      <c r="O86" s="26"/>
      <c r="P86" s="21">
        <f>+P19-P21+P84</f>
        <v>-211039.80000000002</v>
      </c>
      <c r="Q86" s="13"/>
      <c r="R86" s="20">
        <f>IF(P$12=0,0,P86/P$12)</f>
        <v>0</v>
      </c>
      <c r="S86" s="13"/>
      <c r="T86" s="21">
        <f>+T19-T21+T84</f>
        <v>-288295.60425073205</v>
      </c>
      <c r="U86" s="13"/>
      <c r="V86" s="20">
        <f>IF(T$12=0,0,T86/T$12)</f>
        <v>-1.2771248272365843</v>
      </c>
      <c r="W86" s="16"/>
      <c r="X86" s="21">
        <f>+P86-T86</f>
        <v>77255.804250732035</v>
      </c>
      <c r="Y86" s="16"/>
      <c r="Z86" s="20">
        <f>IF(T86=0,0,X86/T86)</f>
        <v>-0.26797427054608264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>
        <v>11963</v>
      </c>
      <c r="I88" s="4"/>
      <c r="J88" s="12">
        <f>IF(H$12=0,0,H88/H$12)</f>
        <v>0.22614794230514754</v>
      </c>
      <c r="K88" s="4"/>
      <c r="L88" s="4">
        <f>+D88-H88</f>
        <v>-11963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40260</v>
      </c>
      <c r="U88" s="4"/>
      <c r="V88" s="12">
        <f>IF(T$12=0,0,T88/T$12)</f>
        <v>0.17834835074289662</v>
      </c>
      <c r="W88" s="4"/>
      <c r="X88" s="4">
        <f>+P88-T88</f>
        <v>-40260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1">
        <f>+D86-D88</f>
        <v>-41541.9</v>
      </c>
      <c r="E90" s="13"/>
      <c r="F90" s="34">
        <f>IF(D$12=0,0,D90/D$12)</f>
        <v>0</v>
      </c>
      <c r="G90" s="13"/>
      <c r="H90" s="31">
        <f>+H86-H88</f>
        <v>-61192.40204558766</v>
      </c>
      <c r="I90" s="13"/>
      <c r="J90" s="34">
        <f>IF(H$12=0,0,H90/H$12)</f>
        <v>-1.1567780495961675</v>
      </c>
      <c r="K90" s="16"/>
      <c r="L90" s="31">
        <f>D90-H90</f>
        <v>19650.502045587658</v>
      </c>
      <c r="M90" s="16"/>
      <c r="N90" s="34">
        <f>IF(H90=0,0,L90/H90)</f>
        <v>-0.32112650245284136</v>
      </c>
      <c r="O90" s="26"/>
      <c r="P90" s="31">
        <f>+P86-P88</f>
        <v>-211039.80000000002</v>
      </c>
      <c r="Q90" s="13"/>
      <c r="R90" s="34">
        <f>IF(P$12=0,0,P90/P$12)</f>
        <v>0</v>
      </c>
      <c r="S90" s="13"/>
      <c r="T90" s="31">
        <f>+T86-T88</f>
        <v>-328555.60425073205</v>
      </c>
      <c r="U90" s="13"/>
      <c r="V90" s="34">
        <f>IF(T$12=0,0,T90/T$12)</f>
        <v>-1.4554731779794809</v>
      </c>
      <c r="W90" s="16"/>
      <c r="X90" s="31">
        <f>P90-T90</f>
        <v>117515.80425073204</v>
      </c>
      <c r="Y90" s="16"/>
      <c r="Z90" s="34">
        <f>IF(T90=0,0,X90/T90)</f>
        <v>-0.35767402147568206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3">
        <f>SUM(D90:D92)</f>
        <v>-41541.9</v>
      </c>
      <c r="E93" s="13"/>
      <c r="F93" s="30">
        <f>IF(D$12=0,0,D93/D$12)</f>
        <v>0</v>
      </c>
      <c r="G93" s="13"/>
      <c r="H93" s="33">
        <f>SUM(H90:H92)</f>
        <v>-61192.40204558766</v>
      </c>
      <c r="I93" s="13"/>
      <c r="J93" s="30">
        <f>IF(H$12=0,0,H93/H$12)</f>
        <v>-1.1567780495961675</v>
      </c>
      <c r="K93" s="16"/>
      <c r="L93" s="33">
        <f>+D93-H93</f>
        <v>19650.502045587658</v>
      </c>
      <c r="M93" s="16"/>
      <c r="N93" s="30">
        <f>IF(H93=0,0,L93/H93)</f>
        <v>-0.32112650245284136</v>
      </c>
      <c r="O93" s="26"/>
      <c r="P93" s="33">
        <f>SUM(P90:P92)</f>
        <v>-211039.80000000002</v>
      </c>
      <c r="Q93" s="13"/>
      <c r="R93" s="30">
        <f>IF(P$12=0,0,P93/P$12)</f>
        <v>0</v>
      </c>
      <c r="S93" s="13"/>
      <c r="T93" s="33">
        <f>SUM(T90:T92)</f>
        <v>-328555.60425073205</v>
      </c>
      <c r="U93" s="13"/>
      <c r="V93" s="30">
        <f>IF(T$12=0,0,T93/T$12)</f>
        <v>-1.4554731779794809</v>
      </c>
      <c r="W93" s="16"/>
      <c r="X93" s="33">
        <f>+P93-T93</f>
        <v>117515.80425073204</v>
      </c>
      <c r="Y93" s="16"/>
      <c r="Z93" s="30">
        <f>IF(T93=0,0,X93/T93)</f>
        <v>-0.35767402147568206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5">
        <v>44174.680170983796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7" t="s">
        <v>314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52842</v>
      </c>
      <c r="E12" s="4"/>
      <c r="F12" s="12"/>
      <c r="G12" s="4"/>
      <c r="H12" s="4">
        <f>SUM(OSRRefH13x_0)</f>
        <v>35101</v>
      </c>
      <c r="I12" s="4"/>
      <c r="J12" s="12"/>
      <c r="K12" s="4"/>
      <c r="L12" s="4">
        <f t="shared" ref="L12:L13" si="0">+D12-H12</f>
        <v>17741</v>
      </c>
      <c r="M12" s="4"/>
      <c r="N12" s="12">
        <f t="shared" ref="N12:N13" si="1">IF(H12=0,0,L12/H12)</f>
        <v>0.50542719580638729</v>
      </c>
      <c r="O12" s="10"/>
      <c r="P12" s="4">
        <f>SUM(OSRRefP13x_0)</f>
        <v>322447</v>
      </c>
      <c r="Q12" s="4"/>
      <c r="R12" s="12"/>
      <c r="S12" s="4"/>
      <c r="T12" s="4">
        <f>SUM(OSRRefT13x_0)</f>
        <v>338478</v>
      </c>
      <c r="U12" s="4"/>
      <c r="V12" s="12"/>
      <c r="W12" s="4"/>
      <c r="X12" s="4">
        <f t="shared" ref="X12:X13" si="2">+P12-T12</f>
        <v>-16031</v>
      </c>
      <c r="Y12" s="4"/>
      <c r="Z12" s="12">
        <f t="shared" ref="Z12:Z13" si="3">IF(T12=0,0,X12/T12)</f>
        <v>-4.7362014665650355E-2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--52842</f>
        <v>52842</v>
      </c>
      <c r="E13" s="2"/>
      <c r="F13" s="22"/>
      <c r="G13" s="2"/>
      <c r="H13" s="2">
        <v>35101</v>
      </c>
      <c r="I13" s="2"/>
      <c r="J13" s="22"/>
      <c r="K13" s="2"/>
      <c r="L13" s="2">
        <f t="shared" si="0"/>
        <v>17741</v>
      </c>
      <c r="M13" s="2"/>
      <c r="N13" s="22">
        <f t="shared" si="1"/>
        <v>0.50542719580638729</v>
      </c>
      <c r="O13" s="11"/>
      <c r="P13" s="2">
        <f>--322447</f>
        <v>322447</v>
      </c>
      <c r="Q13" s="2"/>
      <c r="R13" s="22"/>
      <c r="S13" s="2"/>
      <c r="T13" s="2">
        <v>338478</v>
      </c>
      <c r="U13" s="2"/>
      <c r="V13" s="22"/>
      <c r="W13" s="2"/>
      <c r="X13" s="2">
        <f t="shared" si="2"/>
        <v>-16031</v>
      </c>
      <c r="Y13" s="2"/>
      <c r="Z13" s="22">
        <f t="shared" si="3"/>
        <v>-4.7362014665650355E-2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52842</v>
      </c>
      <c r="E17" s="13"/>
      <c r="F17" s="20">
        <f>IF(D$12=0,0,D17/D$12)</f>
        <v>1</v>
      </c>
      <c r="G17" s="13"/>
      <c r="H17" s="21">
        <f>H12-H15</f>
        <v>35101</v>
      </c>
      <c r="I17" s="13"/>
      <c r="J17" s="20">
        <f>IF(H$12=0,0,H17/H$12)</f>
        <v>1</v>
      </c>
      <c r="K17" s="16"/>
      <c r="L17" s="21">
        <f>+D17-H17</f>
        <v>17741</v>
      </c>
      <c r="M17" s="16"/>
      <c r="N17" s="20">
        <f>IF(H17=0,0,L17/H17)</f>
        <v>0.50542719580638729</v>
      </c>
      <c r="O17" s="26"/>
      <c r="P17" s="21">
        <f>P12-P15</f>
        <v>322447</v>
      </c>
      <c r="Q17" s="13"/>
      <c r="R17" s="20">
        <f>IF(P$12=0,0,P17/P$12)</f>
        <v>1</v>
      </c>
      <c r="S17" s="13"/>
      <c r="T17" s="21">
        <f>T12-T15</f>
        <v>338478</v>
      </c>
      <c r="U17" s="13"/>
      <c r="V17" s="20">
        <f>IF(T$12=0,0,T17/T$12)</f>
        <v>1</v>
      </c>
      <c r="W17" s="16"/>
      <c r="X17" s="21">
        <f>+P17-T17</f>
        <v>-16031</v>
      </c>
      <c r="Y17" s="16"/>
      <c r="Z17" s="20">
        <f>IF(T17=0,0,X17/T17)</f>
        <v>-4.7362014665650355E-2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16452.790000000005</v>
      </c>
      <c r="E19" s="19"/>
      <c r="F19" s="35">
        <f t="shared" ref="F19:F30" si="4">IF(D$12=0,0,D19/D$12)</f>
        <v>0.31135819991673297</v>
      </c>
      <c r="G19" s="19"/>
      <c r="H19" s="19">
        <f>SUM(OSRRefH22x_0)</f>
        <v>31539.906033615385</v>
      </c>
      <c r="I19" s="19"/>
      <c r="J19" s="35">
        <f t="shared" ref="J19:J30" si="5">IF(H$12=0,0,H19/H$12)</f>
        <v>0.89854722183457414</v>
      </c>
      <c r="K19" s="4"/>
      <c r="L19" s="19">
        <f t="shared" ref="L19:L30" si="6">+D19-H19</f>
        <v>-15087.116033615381</v>
      </c>
      <c r="M19" s="4"/>
      <c r="N19" s="35">
        <f t="shared" ref="N19:N30" si="7">IF(H19=0,0,L19/H19)</f>
        <v>-0.47835006285483095</v>
      </c>
      <c r="O19" s="10"/>
      <c r="P19" s="19">
        <f>SUM(OSRRefP22x_0)</f>
        <v>265164.77</v>
      </c>
      <c r="Q19" s="19"/>
      <c r="R19" s="35">
        <f t="shared" ref="R19:R30" si="8">IF(P$12=0,0,P19/P$12)</f>
        <v>0.82235148722115581</v>
      </c>
      <c r="S19" s="19"/>
      <c r="T19" s="19">
        <f>SUM(OSRRefT22x_0)</f>
        <v>300488.31977113464</v>
      </c>
      <c r="U19" s="19"/>
      <c r="V19" s="35">
        <f t="shared" ref="V19:V30" si="9">IF(T$12=0,0,T19/T$12)</f>
        <v>0.88776322174893096</v>
      </c>
      <c r="W19" s="4"/>
      <c r="X19" s="19">
        <f t="shared" ref="X19:X30" si="10">+P19-T19</f>
        <v>-35323.549771134625</v>
      </c>
      <c r="Y19" s="4"/>
      <c r="Z19" s="35">
        <f t="shared" ref="Z19:Z30" si="11">IF(T19=0,0,X19/T19)</f>
        <v>-0.11755381972263888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4514.01</v>
      </c>
      <c r="E20" s="1"/>
      <c r="F20" s="5">
        <f t="shared" si="4"/>
        <v>8.5424662200522319E-2</v>
      </c>
      <c r="G20" s="1"/>
      <c r="H20" s="1">
        <f>SUM(OSRRefH22_0x_0)</f>
        <v>3643.6402643846163</v>
      </c>
      <c r="I20" s="1"/>
      <c r="J20" s="5">
        <f t="shared" si="5"/>
        <v>0.10380445754777973</v>
      </c>
      <c r="K20" s="1"/>
      <c r="L20" s="1">
        <f t="shared" si="6"/>
        <v>870.36973561538389</v>
      </c>
      <c r="M20" s="1"/>
      <c r="N20" s="5">
        <f t="shared" si="7"/>
        <v>0.2388736737056513</v>
      </c>
      <c r="O20" s="14"/>
      <c r="P20" s="1">
        <f>SUM(OSRRefP22_0x_0)</f>
        <v>21372.75</v>
      </c>
      <c r="Q20" s="1"/>
      <c r="R20" s="5">
        <f t="shared" si="8"/>
        <v>6.6282986041116834E-2</v>
      </c>
      <c r="S20" s="1"/>
      <c r="T20" s="1">
        <f>SUM(OSRRefT22_0x_0)</f>
        <v>22102.401790365388</v>
      </c>
      <c r="U20" s="1"/>
      <c r="V20" s="5">
        <f t="shared" si="9"/>
        <v>6.5299374820122394E-2</v>
      </c>
      <c r="W20" s="1"/>
      <c r="X20" s="1">
        <f t="shared" si="10"/>
        <v>-729.65179036538757</v>
      </c>
      <c r="Y20" s="1"/>
      <c r="Z20" s="5">
        <f t="shared" si="11"/>
        <v>-3.3012330392231337E-2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830.29</v>
      </c>
      <c r="E21" s="2"/>
      <c r="F21" s="7">
        <f t="shared" si="4"/>
        <v>1.5712690662730403E-2</v>
      </c>
      <c r="G21" s="2"/>
      <c r="H21" s="6">
        <v>718.85158823076904</v>
      </c>
      <c r="I21" s="2"/>
      <c r="J21" s="7">
        <f t="shared" si="5"/>
        <v>2.0479518766723714E-2</v>
      </c>
      <c r="K21" s="2"/>
      <c r="L21" s="6">
        <f t="shared" si="6"/>
        <v>111.43841176923092</v>
      </c>
      <c r="M21" s="2"/>
      <c r="N21" s="7">
        <f t="shared" si="7"/>
        <v>0.15502283585893178</v>
      </c>
      <c r="O21" s="11"/>
      <c r="P21" s="6">
        <v>5351.93</v>
      </c>
      <c r="Q21" s="2"/>
      <c r="R21" s="7">
        <f t="shared" si="8"/>
        <v>1.6597859493188028E-2</v>
      </c>
      <c r="S21" s="2"/>
      <c r="T21" s="6">
        <v>5769.9606590192307</v>
      </c>
      <c r="U21" s="2"/>
      <c r="V21" s="7">
        <f t="shared" si="9"/>
        <v>1.7046781944525878E-2</v>
      </c>
      <c r="W21" s="2"/>
      <c r="X21" s="6">
        <f t="shared" si="10"/>
        <v>-418.03065901923037</v>
      </c>
      <c r="Y21" s="2"/>
      <c r="Z21" s="7">
        <f t="shared" si="11"/>
        <v>-7.2449481672945515E-2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171.99</v>
      </c>
      <c r="E22" s="2"/>
      <c r="F22" s="7">
        <f t="shared" si="4"/>
        <v>3.2547973203133872E-3</v>
      </c>
      <c r="G22" s="2"/>
      <c r="H22" s="6">
        <v>311.134280769231</v>
      </c>
      <c r="I22" s="2"/>
      <c r="J22" s="7">
        <f t="shared" si="5"/>
        <v>8.8639719885254264E-3</v>
      </c>
      <c r="K22" s="2"/>
      <c r="L22" s="6">
        <f t="shared" si="6"/>
        <v>-139.14428076923099</v>
      </c>
      <c r="M22" s="2"/>
      <c r="N22" s="7">
        <f t="shared" si="7"/>
        <v>-0.44721616796843616</v>
      </c>
      <c r="O22" s="11"/>
      <c r="P22" s="6">
        <v>495.53</v>
      </c>
      <c r="Q22" s="2"/>
      <c r="R22" s="7">
        <f t="shared" si="8"/>
        <v>1.5367796878246658E-3</v>
      </c>
      <c r="S22" s="2"/>
      <c r="T22" s="6">
        <v>1819.3779817307709</v>
      </c>
      <c r="U22" s="2"/>
      <c r="V22" s="7">
        <f t="shared" si="9"/>
        <v>5.3751735171289443E-3</v>
      </c>
      <c r="W22" s="2"/>
      <c r="X22" s="6">
        <f t="shared" si="10"/>
        <v>-1323.8479817307709</v>
      </c>
      <c r="Y22" s="2"/>
      <c r="Z22" s="7">
        <f t="shared" si="11"/>
        <v>-0.72763768443069576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2.3285454751901895E-2</v>
      </c>
      <c r="G23" s="2"/>
      <c r="H23" s="6">
        <v>1025</v>
      </c>
      <c r="I23" s="2"/>
      <c r="J23" s="7">
        <f t="shared" si="5"/>
        <v>2.9201447252215035E-2</v>
      </c>
      <c r="K23" s="2"/>
      <c r="L23" s="6">
        <f t="shared" si="6"/>
        <v>205.45000000000005</v>
      </c>
      <c r="M23" s="2"/>
      <c r="N23" s="7">
        <f t="shared" si="7"/>
        <v>0.20043902439024394</v>
      </c>
      <c r="O23" s="11"/>
      <c r="P23" s="6">
        <v>6172.55</v>
      </c>
      <c r="Q23" s="2"/>
      <c r="R23" s="7">
        <f t="shared" si="8"/>
        <v>1.9142835876903803E-2</v>
      </c>
      <c r="S23" s="2"/>
      <c r="T23" s="6">
        <v>5457.5</v>
      </c>
      <c r="U23" s="2"/>
      <c r="V23" s="7">
        <f t="shared" si="9"/>
        <v>1.6123647622592902E-2</v>
      </c>
      <c r="W23" s="2"/>
      <c r="X23" s="6">
        <f t="shared" si="10"/>
        <v>715.05000000000018</v>
      </c>
      <c r="Y23" s="2"/>
      <c r="Z23" s="7">
        <f t="shared" si="11"/>
        <v>0.13102153000458089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68.3</v>
      </c>
      <c r="E24" s="2"/>
      <c r="F24" s="7">
        <f t="shared" si="4"/>
        <v>1.2925324552439347E-3</v>
      </c>
      <c r="G24" s="2"/>
      <c r="H24" s="6">
        <v>43.726979999999998</v>
      </c>
      <c r="I24" s="2"/>
      <c r="J24" s="7">
        <f t="shared" si="5"/>
        <v>1.2457474146035726E-3</v>
      </c>
      <c r="K24" s="2"/>
      <c r="L24" s="6">
        <f t="shared" si="6"/>
        <v>24.57302</v>
      </c>
      <c r="M24" s="2"/>
      <c r="N24" s="7">
        <f t="shared" si="7"/>
        <v>0.56196471835008965</v>
      </c>
      <c r="O24" s="11"/>
      <c r="P24" s="6">
        <v>214.6</v>
      </c>
      <c r="Q24" s="2"/>
      <c r="R24" s="7">
        <f t="shared" si="8"/>
        <v>6.6553573145354116E-4</v>
      </c>
      <c r="S24" s="2"/>
      <c r="T24" s="6">
        <v>255.69636499999999</v>
      </c>
      <c r="U24" s="2"/>
      <c r="V24" s="7">
        <f t="shared" si="9"/>
        <v>7.5542979159649957E-4</v>
      </c>
      <c r="W24" s="2"/>
      <c r="X24" s="6">
        <f t="shared" si="10"/>
        <v>-41.096364999999992</v>
      </c>
      <c r="Y24" s="2"/>
      <c r="Z24" s="7">
        <f t="shared" si="11"/>
        <v>-0.16072330555031547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1318.86</v>
      </c>
      <c r="E25" s="2"/>
      <c r="F25" s="7">
        <f t="shared" si="4"/>
        <v>2.4958555694334049E-2</v>
      </c>
      <c r="G25" s="2"/>
      <c r="H25" s="6">
        <v>560.123953846154</v>
      </c>
      <c r="I25" s="2"/>
      <c r="J25" s="7">
        <f t="shared" si="5"/>
        <v>1.595749277360058E-2</v>
      </c>
      <c r="K25" s="2"/>
      <c r="L25" s="6">
        <f t="shared" si="6"/>
        <v>758.7360461538459</v>
      </c>
      <c r="M25" s="2"/>
      <c r="N25" s="7">
        <f t="shared" si="7"/>
        <v>1.354585964310042</v>
      </c>
      <c r="O25" s="11"/>
      <c r="P25" s="6">
        <v>4179.3500000000004</v>
      </c>
      <c r="Q25" s="2"/>
      <c r="R25" s="7">
        <f t="shared" si="8"/>
        <v>1.296135488933065E-2</v>
      </c>
      <c r="S25" s="2"/>
      <c r="T25" s="6">
        <v>3326.028996153846</v>
      </c>
      <c r="U25" s="2"/>
      <c r="V25" s="7">
        <f t="shared" si="9"/>
        <v>9.8264259306479178E-3</v>
      </c>
      <c r="W25" s="2"/>
      <c r="X25" s="6">
        <f t="shared" si="10"/>
        <v>853.32100384615433</v>
      </c>
      <c r="Y25" s="2"/>
      <c r="Z25" s="7">
        <f t="shared" si="11"/>
        <v>0.25655849808673281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6">
        <v>74.84</v>
      </c>
      <c r="E27" s="2"/>
      <c r="F27" s="7">
        <f t="shared" si="4"/>
        <v>1.4162976420271755E-3</v>
      </c>
      <c r="G27" s="2"/>
      <c r="H27" s="6"/>
      <c r="I27" s="2"/>
      <c r="J27" s="7">
        <f t="shared" si="5"/>
        <v>0</v>
      </c>
      <c r="K27" s="2"/>
      <c r="L27" s="6">
        <f t="shared" si="6"/>
        <v>74.84</v>
      </c>
      <c r="M27" s="2"/>
      <c r="N27" s="7">
        <f t="shared" si="7"/>
        <v>0</v>
      </c>
      <c r="O27" s="11"/>
      <c r="P27" s="6">
        <v>452.74</v>
      </c>
      <c r="Q27" s="2"/>
      <c r="R27" s="7">
        <f t="shared" si="8"/>
        <v>1.404075708566059E-3</v>
      </c>
      <c r="S27" s="2"/>
      <c r="T27" s="6"/>
      <c r="U27" s="2"/>
      <c r="V27" s="7">
        <f t="shared" si="9"/>
        <v>0</v>
      </c>
      <c r="W27" s="2"/>
      <c r="X27" s="6">
        <f t="shared" si="10"/>
        <v>452.74</v>
      </c>
      <c r="Y27" s="2"/>
      <c r="Z27" s="7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9.841035539911433E-3</v>
      </c>
      <c r="G28" s="2"/>
      <c r="H28" s="6">
        <v>195.39207692307698</v>
      </c>
      <c r="I28" s="2"/>
      <c r="J28" s="7">
        <f t="shared" si="5"/>
        <v>5.5665672466048543E-3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2860.11</v>
      </c>
      <c r="Q28" s="2"/>
      <c r="R28" s="7">
        <f t="shared" si="8"/>
        <v>8.8700158475656463E-3</v>
      </c>
      <c r="S28" s="2"/>
      <c r="T28" s="6">
        <v>1160.242673076923</v>
      </c>
      <c r="U28" s="2"/>
      <c r="V28" s="7">
        <f t="shared" si="9"/>
        <v>3.4278229990632272E-3</v>
      </c>
      <c r="W28" s="2"/>
      <c r="X28" s="6">
        <f t="shared" si="10"/>
        <v>1699.8673269230771</v>
      </c>
      <c r="Y28" s="2"/>
      <c r="Z28" s="7">
        <f t="shared" si="11"/>
        <v>1.4650963685166729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5.6632981340600276E-3</v>
      </c>
      <c r="G29" s="2"/>
      <c r="H29" s="6">
        <v>439.41138461538497</v>
      </c>
      <c r="I29" s="2"/>
      <c r="J29" s="7">
        <f t="shared" si="5"/>
        <v>1.2518486214506281E-2</v>
      </c>
      <c r="K29" s="2"/>
      <c r="L29" s="6">
        <f t="shared" si="6"/>
        <v>-140.15138461538498</v>
      </c>
      <c r="M29" s="2"/>
      <c r="N29" s="7">
        <f t="shared" si="7"/>
        <v>-0.31895255681201551</v>
      </c>
      <c r="O29" s="11"/>
      <c r="P29" s="6">
        <v>1645.94</v>
      </c>
      <c r="Q29" s="2"/>
      <c r="R29" s="7">
        <f t="shared" si="8"/>
        <v>5.1045288062844434E-3</v>
      </c>
      <c r="S29" s="2"/>
      <c r="T29" s="6">
        <v>2563.5951153846167</v>
      </c>
      <c r="U29" s="2"/>
      <c r="V29" s="7">
        <f t="shared" si="9"/>
        <v>7.5738899289898211E-3</v>
      </c>
      <c r="W29" s="2"/>
      <c r="X29" s="6">
        <f t="shared" si="10"/>
        <v>-917.65511538461669</v>
      </c>
      <c r="Y29" s="2"/>
      <c r="Z29" s="7">
        <f t="shared" si="11"/>
        <v>-0.35795633634874541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9.9712258910002564E-3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1750</v>
      </c>
      <c r="U30" s="2"/>
      <c r="V30" s="7">
        <f t="shared" si="9"/>
        <v>5.1702030855772015E-3</v>
      </c>
      <c r="W30" s="2"/>
      <c r="X30" s="6">
        <f t="shared" si="10"/>
        <v>-1750</v>
      </c>
      <c r="Y30" s="2"/>
      <c r="Z30" s="7">
        <f t="shared" si="11"/>
        <v>-1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10918.12</v>
      </c>
      <c r="E31" s="1"/>
      <c r="F31" s="5">
        <f t="shared" ref="F31:F41" si="12">IF(D$12=0,0,D31/D$12)</f>
        <v>0.20661822035502064</v>
      </c>
      <c r="G31" s="1"/>
      <c r="H31" s="1">
        <f>SUM(OSRRefH22_1x_0)</f>
        <v>16183.265769230769</v>
      </c>
      <c r="I31" s="1"/>
      <c r="J31" s="5">
        <f t="shared" ref="J31:J41" si="13">IF(H$12=0,0,H31/H$12)</f>
        <v>0.46104856754026291</v>
      </c>
      <c r="K31" s="1"/>
      <c r="L31" s="1">
        <f t="shared" ref="L31:L41" si="14">+D31-H31</f>
        <v>-5265.1457692307686</v>
      </c>
      <c r="M31" s="1"/>
      <c r="N31" s="5">
        <f t="shared" ref="N31:N41" si="15">IF(H31=0,0,L31/H31)</f>
        <v>-0.32534507214491815</v>
      </c>
      <c r="O31" s="14"/>
      <c r="P31" s="1">
        <f>SUM(OSRRefP22_1x_0)</f>
        <v>72655.399999999994</v>
      </c>
      <c r="Q31" s="1"/>
      <c r="R31" s="5">
        <f t="shared" ref="R31:R41" si="16">IF(P$12=0,0,P31/P$12)</f>
        <v>0.22532509218569252</v>
      </c>
      <c r="S31" s="1"/>
      <c r="T31" s="1">
        <f>SUM(OSRRefT22_1x_0)</f>
        <v>94620.917980769242</v>
      </c>
      <c r="U31" s="1"/>
      <c r="V31" s="5">
        <f t="shared" ref="V31:V41" si="17">IF(T$12=0,0,T31/T$12)</f>
        <v>0.27954820691675453</v>
      </c>
      <c r="W31" s="1"/>
      <c r="X31" s="1">
        <f t="shared" ref="X31:X41" si="18">+P31-T31</f>
        <v>-21965.517980769248</v>
      </c>
      <c r="Y31" s="1"/>
      <c r="Z31" s="5">
        <f t="shared" ref="Z31:Z41" si="19">IF(T31=0,0,X31/T31)</f>
        <v>-0.2321423047833199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3995.44</v>
      </c>
      <c r="E32" s="2"/>
      <c r="F32" s="7">
        <f t="shared" si="12"/>
        <v>7.5611066954316644E-2</v>
      </c>
      <c r="G32" s="2"/>
      <c r="H32" s="6">
        <v>4019.23076923077</v>
      </c>
      <c r="I32" s="2"/>
      <c r="J32" s="7">
        <f t="shared" si="13"/>
        <v>0.1145047368801678</v>
      </c>
      <c r="K32" s="2"/>
      <c r="L32" s="6">
        <f t="shared" si="14"/>
        <v>-23.790769230769911</v>
      </c>
      <c r="M32" s="2"/>
      <c r="N32" s="7">
        <f t="shared" si="15"/>
        <v>-5.919234449760934E-3</v>
      </c>
      <c r="O32" s="11"/>
      <c r="P32" s="6">
        <v>21869.74</v>
      </c>
      <c r="Q32" s="2"/>
      <c r="R32" s="7">
        <f t="shared" si="16"/>
        <v>6.7824293604840491E-2</v>
      </c>
      <c r="S32" s="2"/>
      <c r="T32" s="6">
        <v>22105.76923076923</v>
      </c>
      <c r="U32" s="2"/>
      <c r="V32" s="7">
        <f t="shared" si="17"/>
        <v>6.5309323591988933E-2</v>
      </c>
      <c r="W32" s="2"/>
      <c r="X32" s="6">
        <f t="shared" si="18"/>
        <v>-236.02923076922889</v>
      </c>
      <c r="Y32" s="2"/>
      <c r="Z32" s="7">
        <f t="shared" si="19"/>
        <v>-1.0677268377555374E-2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1939.95</v>
      </c>
      <c r="E33" s="2"/>
      <c r="F33" s="7">
        <f t="shared" si="12"/>
        <v>3.6712274327239697E-2</v>
      </c>
      <c r="G33" s="2"/>
      <c r="H33" s="6">
        <v>2168.1849999999999</v>
      </c>
      <c r="I33" s="2"/>
      <c r="J33" s="7">
        <f t="shared" si="13"/>
        <v>6.1769892595652541E-2</v>
      </c>
      <c r="K33" s="2"/>
      <c r="L33" s="6">
        <f t="shared" si="14"/>
        <v>-228.2349999999999</v>
      </c>
      <c r="M33" s="2"/>
      <c r="N33" s="7">
        <f t="shared" si="15"/>
        <v>-0.10526546397101719</v>
      </c>
      <c r="O33" s="11"/>
      <c r="P33" s="6">
        <v>11753.84</v>
      </c>
      <c r="Q33" s="2"/>
      <c r="R33" s="7">
        <f t="shared" si="16"/>
        <v>3.6452006066113193E-2</v>
      </c>
      <c r="S33" s="2"/>
      <c r="T33" s="6">
        <v>14635.248750000001</v>
      </c>
      <c r="U33" s="2"/>
      <c r="V33" s="7">
        <f t="shared" si="17"/>
        <v>4.3238404711679931E-2</v>
      </c>
      <c r="W33" s="2"/>
      <c r="X33" s="6">
        <f t="shared" si="18"/>
        <v>-2881.4087500000005</v>
      </c>
      <c r="Y33" s="2"/>
      <c r="Z33" s="7">
        <f t="shared" si="19"/>
        <v>-0.19688143325886417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7.9587476140280902E-2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14666.4</v>
      </c>
      <c r="U35" s="2"/>
      <c r="V35" s="7">
        <f t="shared" si="17"/>
        <v>4.3330438019605406E-2</v>
      </c>
      <c r="W35" s="2"/>
      <c r="X35" s="6">
        <f t="shared" si="18"/>
        <v>-14666.4</v>
      </c>
      <c r="Y35" s="2"/>
      <c r="Z35" s="7">
        <f t="shared" si="19"/>
        <v>-1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>
        <v>3993.44</v>
      </c>
      <c r="E36" s="2"/>
      <c r="F36" s="7">
        <f t="shared" si="12"/>
        <v>7.5573218273343179E-2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3993.44</v>
      </c>
      <c r="M36" s="2"/>
      <c r="N36" s="7">
        <f t="shared" si="15"/>
        <v>0</v>
      </c>
      <c r="O36" s="11"/>
      <c r="P36" s="6">
        <v>33346.76</v>
      </c>
      <c r="Q36" s="2"/>
      <c r="R36" s="7">
        <f t="shared" si="16"/>
        <v>0.10341780199536668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33346.76</v>
      </c>
      <c r="Y36" s="2"/>
      <c r="Z36" s="7">
        <f t="shared" si="1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>
        <v>504.75</v>
      </c>
      <c r="E38" s="2"/>
      <c r="F38" s="7">
        <f t="shared" si="12"/>
        <v>9.5520608606790049E-3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504.75</v>
      </c>
      <c r="M38" s="2"/>
      <c r="N38" s="7">
        <f t="shared" si="15"/>
        <v>0</v>
      </c>
      <c r="O38" s="11"/>
      <c r="P38" s="6">
        <v>3315.98</v>
      </c>
      <c r="Q38" s="2"/>
      <c r="R38" s="7">
        <f t="shared" si="16"/>
        <v>1.0283798577750762E-2</v>
      </c>
      <c r="S38" s="2"/>
      <c r="T38" s="6">
        <v>20952</v>
      </c>
      <c r="U38" s="2"/>
      <c r="V38" s="7">
        <f t="shared" si="17"/>
        <v>6.1900625742293443E-2</v>
      </c>
      <c r="W38" s="2"/>
      <c r="X38" s="6">
        <f t="shared" si="18"/>
        <v>-17636.02</v>
      </c>
      <c r="Y38" s="2"/>
      <c r="Z38" s="7">
        <f t="shared" si="19"/>
        <v>-0.84173444062619318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484.54</v>
      </c>
      <c r="E39" s="2"/>
      <c r="F39" s="7">
        <f t="shared" si="12"/>
        <v>9.1695999394421114E-3</v>
      </c>
      <c r="G39" s="2"/>
      <c r="H39" s="6">
        <v>7202.25</v>
      </c>
      <c r="I39" s="2"/>
      <c r="J39" s="7">
        <f t="shared" si="13"/>
        <v>0.20518646192416171</v>
      </c>
      <c r="K39" s="2"/>
      <c r="L39" s="6">
        <f t="shared" si="14"/>
        <v>-6717.71</v>
      </c>
      <c r="M39" s="2"/>
      <c r="N39" s="7">
        <f t="shared" si="15"/>
        <v>-0.93272380158978097</v>
      </c>
      <c r="O39" s="11"/>
      <c r="P39" s="6">
        <v>2369.08</v>
      </c>
      <c r="Q39" s="2"/>
      <c r="R39" s="7">
        <f t="shared" si="16"/>
        <v>7.3471919416214131E-3</v>
      </c>
      <c r="S39" s="2"/>
      <c r="T39" s="6">
        <v>22261.5</v>
      </c>
      <c r="U39" s="2"/>
      <c r="V39" s="7">
        <f t="shared" si="17"/>
        <v>6.5769414851186786E-2</v>
      </c>
      <c r="W39" s="2"/>
      <c r="X39" s="6">
        <f t="shared" si="18"/>
        <v>-19892.419999999998</v>
      </c>
      <c r="Y39" s="2"/>
      <c r="Z39" s="7">
        <f t="shared" si="19"/>
        <v>-0.89357949823686622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2.8489216831429306E-3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500</v>
      </c>
      <c r="U42" s="1"/>
      <c r="V42" s="5">
        <f t="shared" ref="V42:V50" si="25">IF(T$12=0,0,T42/T$12)</f>
        <v>1.4772008815934861E-3</v>
      </c>
      <c r="W42" s="1"/>
      <c r="X42" s="1">
        <f t="shared" ref="X42:X50" si="26">+P42-T42</f>
        <v>-500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2.8489216831429306E-3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500</v>
      </c>
      <c r="U43" s="2"/>
      <c r="V43" s="7">
        <f t="shared" si="25"/>
        <v>1.4772008815934861E-3</v>
      </c>
      <c r="W43" s="2"/>
      <c r="X43" s="6">
        <f t="shared" si="26"/>
        <v>-500</v>
      </c>
      <c r="Y43" s="2"/>
      <c r="Z43" s="7">
        <f t="shared" si="27"/>
        <v>-1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54.7</v>
      </c>
      <c r="E44" s="1"/>
      <c r="F44" s="5">
        <f t="shared" si="20"/>
        <v>1.0351614246243519E-3</v>
      </c>
      <c r="G44" s="1"/>
      <c r="H44" s="1">
        <f>SUM(OSRRefH22_3x_0)</f>
        <v>1500</v>
      </c>
      <c r="I44" s="1"/>
      <c r="J44" s="5">
        <f t="shared" si="21"/>
        <v>4.2733825247143954E-2</v>
      </c>
      <c r="K44" s="1"/>
      <c r="L44" s="1">
        <f t="shared" si="22"/>
        <v>-1445.3</v>
      </c>
      <c r="M44" s="1"/>
      <c r="N44" s="5">
        <f t="shared" si="23"/>
        <v>-0.96353333333333335</v>
      </c>
      <c r="O44" s="14"/>
      <c r="P44" s="1">
        <f>SUM(OSRRefP22_3x_0)</f>
        <v>574.16999999999996</v>
      </c>
      <c r="Q44" s="1"/>
      <c r="R44" s="5">
        <f t="shared" si="24"/>
        <v>1.7806647293973892E-3</v>
      </c>
      <c r="S44" s="1"/>
      <c r="T44" s="1">
        <f>SUM(OSRRefT22_3x_0)</f>
        <v>7700</v>
      </c>
      <c r="U44" s="1"/>
      <c r="V44" s="5">
        <f t="shared" si="25"/>
        <v>2.2748893576539687E-2</v>
      </c>
      <c r="W44" s="1"/>
      <c r="X44" s="1">
        <f t="shared" si="26"/>
        <v>-7125.83</v>
      </c>
      <c r="Y44" s="1"/>
      <c r="Z44" s="5">
        <f t="shared" si="27"/>
        <v>-0.92543246753246755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54.7</v>
      </c>
      <c r="E45" s="2"/>
      <c r="F45" s="7">
        <f t="shared" si="20"/>
        <v>1.0351614246243519E-3</v>
      </c>
      <c r="G45" s="2"/>
      <c r="H45" s="6">
        <v>1500</v>
      </c>
      <c r="I45" s="2"/>
      <c r="J45" s="7">
        <f t="shared" si="21"/>
        <v>4.2733825247143954E-2</v>
      </c>
      <c r="K45" s="2"/>
      <c r="L45" s="6">
        <f t="shared" si="22"/>
        <v>-1445.3</v>
      </c>
      <c r="M45" s="2"/>
      <c r="N45" s="7">
        <f t="shared" si="23"/>
        <v>-0.96353333333333335</v>
      </c>
      <c r="O45" s="11"/>
      <c r="P45" s="6">
        <v>574.16999999999996</v>
      </c>
      <c r="Q45" s="2"/>
      <c r="R45" s="7">
        <f t="shared" si="24"/>
        <v>1.7806647293973892E-3</v>
      </c>
      <c r="S45" s="2"/>
      <c r="T45" s="6">
        <v>7700</v>
      </c>
      <c r="U45" s="2"/>
      <c r="V45" s="7">
        <f t="shared" si="25"/>
        <v>2.2748893576539687E-2</v>
      </c>
      <c r="W45" s="2"/>
      <c r="X45" s="6">
        <f t="shared" si="26"/>
        <v>-7125.83</v>
      </c>
      <c r="Y45" s="2"/>
      <c r="Z45" s="7">
        <f t="shared" si="27"/>
        <v>-0.92543246753246755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5.6978433662858605E-4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100</v>
      </c>
      <c r="U46" s="1"/>
      <c r="V46" s="5">
        <f t="shared" si="25"/>
        <v>2.9544017631869722E-4</v>
      </c>
      <c r="W46" s="1"/>
      <c r="X46" s="1">
        <f t="shared" si="26"/>
        <v>-100</v>
      </c>
      <c r="Y46" s="1"/>
      <c r="Z46" s="5">
        <f t="shared" si="2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5.6978433662858605E-4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100</v>
      </c>
      <c r="U47" s="2"/>
      <c r="V47" s="7">
        <f t="shared" si="25"/>
        <v>2.9544017631869722E-4</v>
      </c>
      <c r="W47" s="2"/>
      <c r="X47" s="6">
        <f t="shared" si="26"/>
        <v>-100</v>
      </c>
      <c r="Y47" s="2"/>
      <c r="Z47" s="7">
        <f t="shared" si="27"/>
        <v>-1</v>
      </c>
    </row>
    <row r="48" spans="1:26" s="29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2.8489216831429303E-4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6.5747239081151328E-6</v>
      </c>
      <c r="S48" s="1"/>
      <c r="T48" s="1">
        <f>SUM(OSRRefT22_5x_0)</f>
        <v>50</v>
      </c>
      <c r="U48" s="1"/>
      <c r="V48" s="5">
        <f t="shared" si="25"/>
        <v>1.4772008815934861E-4</v>
      </c>
      <c r="W48" s="1"/>
      <c r="X48" s="1">
        <f t="shared" si="26"/>
        <v>-47.88</v>
      </c>
      <c r="Y48" s="1"/>
      <c r="Z48" s="5">
        <f t="shared" si="27"/>
        <v>-0.95760000000000001</v>
      </c>
    </row>
    <row r="49" spans="1:26" s="24" customFormat="1" hidden="1" outlineLevel="2" x14ac:dyDescent="0.25">
      <c r="A49" s="28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1.62</v>
      </c>
      <c r="Q49" s="2"/>
      <c r="R49" s="7">
        <f t="shared" si="24"/>
        <v>5.024081476955903E-6</v>
      </c>
      <c r="S49" s="2"/>
      <c r="T49" s="6"/>
      <c r="U49" s="2"/>
      <c r="V49" s="7">
        <f t="shared" si="25"/>
        <v>0</v>
      </c>
      <c r="W49" s="2"/>
      <c r="X49" s="6">
        <f t="shared" si="26"/>
        <v>1.62</v>
      </c>
      <c r="Y49" s="2"/>
      <c r="Z49" s="7">
        <f t="shared" si="27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2.8489216831429303E-4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>
        <v>0.5</v>
      </c>
      <c r="Q50" s="2"/>
      <c r="R50" s="7">
        <f t="shared" si="24"/>
        <v>1.5506424311592292E-6</v>
      </c>
      <c r="S50" s="2"/>
      <c r="T50" s="6">
        <v>50</v>
      </c>
      <c r="U50" s="2"/>
      <c r="V50" s="7">
        <f t="shared" si="25"/>
        <v>1.4772008815934861E-4</v>
      </c>
      <c r="W50" s="2"/>
      <c r="X50" s="6">
        <f t="shared" si="26"/>
        <v>-49.5</v>
      </c>
      <c r="Y50" s="2"/>
      <c r="Z50" s="7">
        <f t="shared" si="27"/>
        <v>-0.99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1.4244608415714653E-3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250</v>
      </c>
      <c r="U51" s="1"/>
      <c r="V51" s="5">
        <f t="shared" ref="V51:V61" si="33">IF(T$12=0,0,T51/T$12)</f>
        <v>7.3860044079674303E-4</v>
      </c>
      <c r="W51" s="1"/>
      <c r="X51" s="1">
        <f t="shared" ref="X51:X61" si="34">+P51-T51</f>
        <v>-250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1.4244608415714653E-3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250</v>
      </c>
      <c r="U52" s="2"/>
      <c r="V52" s="7">
        <f t="shared" si="33"/>
        <v>7.3860044079674303E-4</v>
      </c>
      <c r="W52" s="2"/>
      <c r="X52" s="6">
        <f t="shared" si="34"/>
        <v>-250</v>
      </c>
      <c r="Y52" s="2"/>
      <c r="Z52" s="7">
        <f t="shared" si="35"/>
        <v>-1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5.4899511752015445E-4</v>
      </c>
      <c r="G53" s="1"/>
      <c r="H53" s="1">
        <f>SUM(OSRRefH22_7x_0)</f>
        <v>33</v>
      </c>
      <c r="I53" s="1"/>
      <c r="J53" s="5">
        <f t="shared" si="29"/>
        <v>9.4014415543716701E-4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145.05000000000001</v>
      </c>
      <c r="Q53" s="1"/>
      <c r="R53" s="5">
        <f t="shared" si="32"/>
        <v>4.4984136927929245E-4</v>
      </c>
      <c r="S53" s="1"/>
      <c r="T53" s="1">
        <f>SUM(OSRRefT22_7x_0)</f>
        <v>165</v>
      </c>
      <c r="U53" s="1"/>
      <c r="V53" s="5">
        <f t="shared" si="33"/>
        <v>4.8747629092585045E-4</v>
      </c>
      <c r="W53" s="1"/>
      <c r="X53" s="1">
        <f t="shared" si="34"/>
        <v>-19.949999999999989</v>
      </c>
      <c r="Y53" s="1"/>
      <c r="Z53" s="5">
        <f t="shared" si="35"/>
        <v>-0.12090909090909084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5.4899511752015445E-4</v>
      </c>
      <c r="G54" s="2"/>
      <c r="H54" s="6">
        <v>33</v>
      </c>
      <c r="I54" s="2"/>
      <c r="J54" s="7">
        <f t="shared" si="29"/>
        <v>9.4014415543716701E-4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145.05000000000001</v>
      </c>
      <c r="Q54" s="2"/>
      <c r="R54" s="7">
        <f t="shared" si="32"/>
        <v>4.4984136927929245E-4</v>
      </c>
      <c r="S54" s="2"/>
      <c r="T54" s="6">
        <v>165</v>
      </c>
      <c r="U54" s="2"/>
      <c r="V54" s="7">
        <f t="shared" si="33"/>
        <v>4.8747629092585045E-4</v>
      </c>
      <c r="W54" s="2"/>
      <c r="X54" s="6">
        <f t="shared" si="34"/>
        <v>-19.949999999999989</v>
      </c>
      <c r="Y54" s="2"/>
      <c r="Z54" s="7">
        <f t="shared" si="35"/>
        <v>-0.12090909090909084</v>
      </c>
    </row>
    <row r="55" spans="1:26" s="29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1.513947238938723E-2</v>
      </c>
      <c r="G55" s="1"/>
      <c r="H55" s="1">
        <f>SUM(OSRRefH22_8x_0)</f>
        <v>800</v>
      </c>
      <c r="I55" s="1"/>
      <c r="J55" s="5">
        <f t="shared" si="29"/>
        <v>2.2791373465143445E-2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4000</v>
      </c>
      <c r="Q55" s="1"/>
      <c r="R55" s="5">
        <f t="shared" si="32"/>
        <v>1.2405139449273834E-2</v>
      </c>
      <c r="S55" s="1"/>
      <c r="T55" s="1">
        <f>SUM(OSRRefT22_8x_0)</f>
        <v>4000</v>
      </c>
      <c r="U55" s="1"/>
      <c r="V55" s="5">
        <f t="shared" si="33"/>
        <v>1.1817607052747888E-2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8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1.513947238938723E-2</v>
      </c>
      <c r="G56" s="2"/>
      <c r="H56" s="6">
        <v>800</v>
      </c>
      <c r="I56" s="2"/>
      <c r="J56" s="7">
        <f t="shared" si="29"/>
        <v>2.2791373465143445E-2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4000</v>
      </c>
      <c r="Q56" s="2"/>
      <c r="R56" s="7">
        <f t="shared" si="32"/>
        <v>1.2405139449273834E-2</v>
      </c>
      <c r="S56" s="2"/>
      <c r="T56" s="6">
        <v>4000</v>
      </c>
      <c r="U56" s="2"/>
      <c r="V56" s="7">
        <f t="shared" si="33"/>
        <v>1.1817607052747888E-2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4.2733825247143954E-2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123827.90000000001</v>
      </c>
      <c r="Q57" s="1"/>
      <c r="R57" s="5">
        <f t="shared" si="32"/>
        <v>0.38402559180268386</v>
      </c>
      <c r="S57" s="1"/>
      <c r="T57" s="1">
        <f>SUM(OSRRefT22_9x_0)</f>
        <v>132500</v>
      </c>
      <c r="U57" s="1"/>
      <c r="V57" s="5">
        <f t="shared" si="33"/>
        <v>0.39145823362227383</v>
      </c>
      <c r="W57" s="1"/>
      <c r="X57" s="1">
        <f t="shared" si="34"/>
        <v>-8672.0999999999913</v>
      </c>
      <c r="Y57" s="1"/>
      <c r="Z57" s="5">
        <f t="shared" si="35"/>
        <v>-6.5449811320754656E-2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0.36930022039837151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4.2733825247143954E-2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7500</v>
      </c>
      <c r="U59" s="2"/>
      <c r="V59" s="7">
        <f t="shared" si="33"/>
        <v>2.2158013223902293E-2</v>
      </c>
      <c r="W59" s="2"/>
      <c r="X59" s="6">
        <f t="shared" si="34"/>
        <v>-7500</v>
      </c>
      <c r="Y59" s="2"/>
      <c r="Z59" s="7">
        <f t="shared" si="35"/>
        <v>-1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117265.90000000001</v>
      </c>
      <c r="Q60" s="2"/>
      <c r="R60" s="7">
        <f t="shared" si="32"/>
        <v>0.36367496053615017</v>
      </c>
      <c r="S60" s="2"/>
      <c r="T60" s="6"/>
      <c r="U60" s="2"/>
      <c r="V60" s="7">
        <f t="shared" si="33"/>
        <v>0</v>
      </c>
      <c r="W60" s="2"/>
      <c r="X60" s="6">
        <f t="shared" si="34"/>
        <v>117265.90000000001</v>
      </c>
      <c r="Y60" s="2"/>
      <c r="Z60" s="7">
        <f t="shared" si="35"/>
        <v>0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6562</v>
      </c>
      <c r="Q61" s="2"/>
      <c r="R61" s="7">
        <f t="shared" si="32"/>
        <v>2.0350631266533727E-2</v>
      </c>
      <c r="S61" s="2"/>
      <c r="T61" s="6"/>
      <c r="U61" s="2"/>
      <c r="V61" s="7">
        <f t="shared" si="33"/>
        <v>0</v>
      </c>
      <c r="W61" s="2"/>
      <c r="X61" s="6">
        <f t="shared" si="34"/>
        <v>6562</v>
      </c>
      <c r="Y61" s="2"/>
      <c r="Z61" s="7">
        <f t="shared" si="35"/>
        <v>0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64" si="36">IF(D$12=0,0,D62/D$12)</f>
        <v>0</v>
      </c>
      <c r="G62" s="1"/>
      <c r="H62" s="1">
        <f>SUM(OSRRefH22_10x_0)</f>
        <v>7000</v>
      </c>
      <c r="I62" s="1"/>
      <c r="J62" s="5">
        <f t="shared" ref="J62:J64" si="37">IF(H$12=0,0,H62/H$12)</f>
        <v>0.19942451782000511</v>
      </c>
      <c r="K62" s="1"/>
      <c r="L62" s="1">
        <f t="shared" ref="L62:L64" si="38">+D62-H62</f>
        <v>-7000</v>
      </c>
      <c r="M62" s="1"/>
      <c r="N62" s="5">
        <f t="shared" ref="N62:N64" si="39">IF(H62=0,0,L62/H62)</f>
        <v>-1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0.12799529845214871</v>
      </c>
      <c r="S62" s="1"/>
      <c r="T62" s="1">
        <f>SUM(OSRRefT22_10x_0)</f>
        <v>35000</v>
      </c>
      <c r="U62" s="1"/>
      <c r="V62" s="5">
        <f t="shared" ref="V62:V64" si="41">IF(T$12=0,0,T62/T$12)</f>
        <v>0.10340406171154402</v>
      </c>
      <c r="W62" s="1"/>
      <c r="X62" s="1">
        <f t="shared" ref="X62:X64" si="42">+P62-T62</f>
        <v>6271.6999999999971</v>
      </c>
      <c r="Y62" s="1"/>
      <c r="Z62" s="5">
        <f t="shared" ref="Z62:Z64" si="43">IF(T62=0,0,X62/T62)</f>
        <v>0.1791914285714285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36"/>
        <v>0</v>
      </c>
      <c r="G63" s="2"/>
      <c r="H63" s="6">
        <v>7000</v>
      </c>
      <c r="I63" s="2"/>
      <c r="J63" s="7">
        <f t="shared" si="37"/>
        <v>0.19942451782000511</v>
      </c>
      <c r="K63" s="2"/>
      <c r="L63" s="6">
        <f t="shared" si="38"/>
        <v>-7000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35000</v>
      </c>
      <c r="U63" s="2"/>
      <c r="V63" s="7">
        <f t="shared" si="41"/>
        <v>0.10340406171154402</v>
      </c>
      <c r="W63" s="2"/>
      <c r="X63" s="6">
        <f t="shared" si="42"/>
        <v>-35000</v>
      </c>
      <c r="Y63" s="2"/>
      <c r="Z63" s="7">
        <f t="shared" si="43"/>
        <v>-1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41271.699999999997</v>
      </c>
      <c r="Q64" s="2"/>
      <c r="R64" s="7">
        <f t="shared" si="40"/>
        <v>0.12799529845214871</v>
      </c>
      <c r="S64" s="2"/>
      <c r="T64" s="6"/>
      <c r="U64" s="2"/>
      <c r="V64" s="7">
        <f t="shared" si="41"/>
        <v>0</v>
      </c>
      <c r="W64" s="2"/>
      <c r="X64" s="6">
        <f t="shared" si="42"/>
        <v>41271.699999999997</v>
      </c>
      <c r="Y64" s="2"/>
      <c r="Z64" s="7">
        <f t="shared" si="43"/>
        <v>0</v>
      </c>
    </row>
    <row r="65" spans="1:26" s="29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136.94999999999999</v>
      </c>
      <c r="E65" s="1"/>
      <c r="F65" s="5">
        <f t="shared" ref="F65:F66" si="44">IF(D$12=0,0,D65/D$12)</f>
        <v>2.5916884296582261E-3</v>
      </c>
      <c r="G65" s="1"/>
      <c r="H65" s="1">
        <f>SUM(OSRRefH22_11x_0)</f>
        <v>700</v>
      </c>
      <c r="I65" s="1"/>
      <c r="J65" s="5">
        <f t="shared" ref="J65:J66" si="45">IF(H$12=0,0,H65/H$12)</f>
        <v>1.9942451782000513E-2</v>
      </c>
      <c r="K65" s="1"/>
      <c r="L65" s="1">
        <f t="shared" ref="L65:L66" si="46">+D65-H65</f>
        <v>-563.04999999999995</v>
      </c>
      <c r="M65" s="1"/>
      <c r="N65" s="5">
        <f t="shared" ref="N65:N66" si="47">IF(H65=0,0,L65/H65)</f>
        <v>-0.80435714285714277</v>
      </c>
      <c r="O65" s="14"/>
      <c r="P65" s="1">
        <f>SUM(OSRRefP22_11x_0)</f>
        <v>1315.68</v>
      </c>
      <c r="Q65" s="1"/>
      <c r="R65" s="5">
        <f t="shared" ref="R65:R66" si="48">IF(P$12=0,0,P65/P$12)</f>
        <v>4.0802984676551494E-3</v>
      </c>
      <c r="S65" s="1"/>
      <c r="T65" s="1">
        <f>SUM(OSRRefT22_11x_0)</f>
        <v>3500</v>
      </c>
      <c r="U65" s="1"/>
      <c r="V65" s="5">
        <f t="shared" ref="V65:V66" si="49">IF(T$12=0,0,T65/T$12)</f>
        <v>1.0340406171154403E-2</v>
      </c>
      <c r="W65" s="1"/>
      <c r="X65" s="1">
        <f t="shared" ref="X65:X66" si="50">+P65-T65</f>
        <v>-2184.3199999999997</v>
      </c>
      <c r="Y65" s="1"/>
      <c r="Z65" s="5">
        <f t="shared" ref="Z65:Z66" si="51">IF(T65=0,0,X65/T65)</f>
        <v>-0.62409142857142852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6">
        <v>136.94999999999999</v>
      </c>
      <c r="E66" s="2"/>
      <c r="F66" s="7">
        <f t="shared" si="44"/>
        <v>2.5916884296582261E-3</v>
      </c>
      <c r="G66" s="2"/>
      <c r="H66" s="6">
        <v>700</v>
      </c>
      <c r="I66" s="2"/>
      <c r="J66" s="7">
        <f t="shared" si="45"/>
        <v>1.9942451782000513E-2</v>
      </c>
      <c r="K66" s="2"/>
      <c r="L66" s="6">
        <f t="shared" si="46"/>
        <v>-563.04999999999995</v>
      </c>
      <c r="M66" s="2"/>
      <c r="N66" s="7">
        <f t="shared" si="47"/>
        <v>-0.80435714285714277</v>
      </c>
      <c r="O66" s="11"/>
      <c r="P66" s="6">
        <v>1315.68</v>
      </c>
      <c r="Q66" s="2"/>
      <c r="R66" s="7">
        <f t="shared" si="48"/>
        <v>4.0802984676551494E-3</v>
      </c>
      <c r="S66" s="2"/>
      <c r="T66" s="6">
        <v>3500</v>
      </c>
      <c r="U66" s="2"/>
      <c r="V66" s="7">
        <f t="shared" si="49"/>
        <v>1.0340406171154403E-2</v>
      </c>
      <c r="W66" s="2"/>
      <c r="X66" s="6">
        <f t="shared" si="50"/>
        <v>-2184.3199999999997</v>
      </c>
      <c r="Y66" s="2"/>
      <c r="Z66" s="7">
        <f t="shared" si="51"/>
        <v>-0.62409142857142852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145.04</v>
      </c>
      <c r="E68" s="4"/>
      <c r="F68" s="12">
        <f t="shared" ref="F68:F69" si="52">IF(D$12=0,0,D68/D$12)</f>
        <v>2.7447863441959048E-3</v>
      </c>
      <c r="G68" s="4"/>
      <c r="H68" s="4">
        <f>SUM(OSRRefH25x_0)</f>
        <v>1650</v>
      </c>
      <c r="I68" s="4"/>
      <c r="J68" s="12">
        <f t="shared" ref="J68:J69" si="53">IF(H$12=0,0,H68/H$12)</f>
        <v>4.700720777185835E-2</v>
      </c>
      <c r="K68" s="4"/>
      <c r="L68" s="4">
        <f t="shared" ref="L68:L69" si="54">+D68-H68</f>
        <v>-1504.96</v>
      </c>
      <c r="M68" s="4"/>
      <c r="N68" s="12">
        <f t="shared" ref="N68:N69" si="55">IF(H68=0,0,L68/H68)</f>
        <v>-0.91209696969696974</v>
      </c>
      <c r="O68" s="10"/>
      <c r="P68" s="4">
        <f>SUM(OSRRefP25x_0)</f>
        <v>1120.2</v>
      </c>
      <c r="Q68" s="4"/>
      <c r="R68" s="12">
        <f t="shared" ref="R68:R69" si="56">IF(P$12=0,0,P68/P$12)</f>
        <v>3.4740593027691373E-3</v>
      </c>
      <c r="S68" s="4"/>
      <c r="T68" s="4">
        <f>SUM(OSRRefT25x_0)</f>
        <v>13650</v>
      </c>
      <c r="U68" s="4"/>
      <c r="V68" s="12">
        <f t="shared" ref="V68:V69" si="57">IF(T$12=0,0,T68/T$12)</f>
        <v>4.032758406750217E-2</v>
      </c>
      <c r="W68" s="4"/>
      <c r="X68" s="4">
        <f t="shared" ref="X68:X69" si="58">+P68-T68</f>
        <v>-12529.8</v>
      </c>
      <c r="Y68" s="4"/>
      <c r="Z68" s="12">
        <f t="shared" ref="Z68:Z69" si="59">IF(T68=0,0,X68/T68)</f>
        <v>-0.9179340659340659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--145.04</f>
        <v>145.04</v>
      </c>
      <c r="E69" s="2"/>
      <c r="F69" s="22">
        <f t="shared" si="52"/>
        <v>2.7447863441959048E-3</v>
      </c>
      <c r="G69" s="2"/>
      <c r="H69" s="2">
        <v>1650</v>
      </c>
      <c r="I69" s="2"/>
      <c r="J69" s="22">
        <f t="shared" si="53"/>
        <v>4.700720777185835E-2</v>
      </c>
      <c r="K69" s="2"/>
      <c r="L69" s="2">
        <f t="shared" si="54"/>
        <v>-1504.96</v>
      </c>
      <c r="M69" s="2"/>
      <c r="N69" s="22">
        <f t="shared" si="55"/>
        <v>-0.91209696969696974</v>
      </c>
      <c r="O69" s="11"/>
      <c r="P69" s="2">
        <f>--1120.2</f>
        <v>1120.2</v>
      </c>
      <c r="Q69" s="2"/>
      <c r="R69" s="22">
        <f t="shared" si="56"/>
        <v>3.4740593027691373E-3</v>
      </c>
      <c r="S69" s="2"/>
      <c r="T69" s="2">
        <v>13650</v>
      </c>
      <c r="U69" s="2"/>
      <c r="V69" s="22">
        <f t="shared" si="57"/>
        <v>4.032758406750217E-2</v>
      </c>
      <c r="W69" s="2"/>
      <c r="X69" s="2">
        <f t="shared" si="58"/>
        <v>-12529.8</v>
      </c>
      <c r="Y69" s="2"/>
      <c r="Z69" s="22">
        <f t="shared" si="59"/>
        <v>-0.9179340659340659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1">
        <f>+D17-D19+D68</f>
        <v>36534.249999999993</v>
      </c>
      <c r="E71" s="13"/>
      <c r="F71" s="20">
        <f>IF(D$12=0,0,D71/D$12)</f>
        <v>0.69138658642746287</v>
      </c>
      <c r="G71" s="13"/>
      <c r="H71" s="21">
        <f>+H17-H19+H68</f>
        <v>5211.0939663846148</v>
      </c>
      <c r="I71" s="13"/>
      <c r="J71" s="20">
        <f>IF(H$12=0,0,H71/H$12)</f>
        <v>0.14845998593728427</v>
      </c>
      <c r="K71" s="16"/>
      <c r="L71" s="21">
        <f>+D71-H71</f>
        <v>31323.156033615378</v>
      </c>
      <c r="M71" s="16"/>
      <c r="N71" s="20">
        <f>IF(H71=0,0,L71/H71)</f>
        <v>6.010859952952825</v>
      </c>
      <c r="O71" s="26"/>
      <c r="P71" s="21">
        <f>+P17-P19+P68</f>
        <v>58402.429999999978</v>
      </c>
      <c r="Q71" s="13"/>
      <c r="R71" s="20">
        <f>IF(P$12=0,0,P71/P$12)</f>
        <v>0.18112257208161334</v>
      </c>
      <c r="S71" s="13"/>
      <c r="T71" s="21">
        <f>+T17-T19+T68</f>
        <v>51639.680228865356</v>
      </c>
      <c r="U71" s="13"/>
      <c r="V71" s="20">
        <f>IF(T$12=0,0,T71/T$12)</f>
        <v>0.15256436231857123</v>
      </c>
      <c r="W71" s="16"/>
      <c r="X71" s="21">
        <f>+P71-T71</f>
        <v>6762.7497711346223</v>
      </c>
      <c r="Y71" s="16"/>
      <c r="Z71" s="20">
        <f>IF(T71=0,0,X71/T71)</f>
        <v>0.130960334013734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-7165.41</v>
      </c>
      <c r="E73" s="4"/>
      <c r="F73" s="12">
        <f>IF(D$12=0,0,D73/D$12)</f>
        <v>-0.13560065856704895</v>
      </c>
      <c r="G73" s="4"/>
      <c r="H73" s="4">
        <v>10699</v>
      </c>
      <c r="I73" s="4"/>
      <c r="J73" s="12">
        <f>IF(H$12=0,0,H73/H$12)</f>
        <v>0.30480613087946212</v>
      </c>
      <c r="K73" s="4"/>
      <c r="L73" s="4">
        <f>+D73-H73</f>
        <v>-17864.41</v>
      </c>
      <c r="M73" s="4"/>
      <c r="N73" s="12">
        <f>IF(H73=0,0,L73/H73)</f>
        <v>-1.6697270772969437</v>
      </c>
      <c r="O73" s="10"/>
      <c r="P73" s="4">
        <v>51236.84</v>
      </c>
      <c r="Q73" s="4"/>
      <c r="R73" s="12">
        <f>IF(P$12=0,0,P73/P$12)</f>
        <v>0.15890003628503288</v>
      </c>
      <c r="S73" s="4"/>
      <c r="T73" s="4">
        <v>60368</v>
      </c>
      <c r="U73" s="4"/>
      <c r="V73" s="12">
        <f>IF(T$12=0,0,T73/T$12)</f>
        <v>0.17835132564007114</v>
      </c>
      <c r="W73" s="4"/>
      <c r="X73" s="4">
        <f>+P73-T73</f>
        <v>-9131.1600000000035</v>
      </c>
      <c r="Y73" s="4"/>
      <c r="Z73" s="12">
        <f>IF(T73=0,0,X73/T73)</f>
        <v>-0.15125828253379281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1">
        <f>+D71-D73</f>
        <v>43699.659999999989</v>
      </c>
      <c r="E75" s="13"/>
      <c r="F75" s="34">
        <f>IF(D$12=0,0,D75/D$12)</f>
        <v>0.82698724499451171</v>
      </c>
      <c r="G75" s="13"/>
      <c r="H75" s="31">
        <f>+H71-H73</f>
        <v>-5487.9060336153852</v>
      </c>
      <c r="I75" s="13"/>
      <c r="J75" s="34">
        <f>IF(H$12=0,0,H75/H$12)</f>
        <v>-0.15634614494217786</v>
      </c>
      <c r="K75" s="16"/>
      <c r="L75" s="31">
        <f>D75-H75</f>
        <v>49187.566033615374</v>
      </c>
      <c r="M75" s="16"/>
      <c r="N75" s="34">
        <f>IF(H75=0,0,L75/H75)</f>
        <v>-8.9629023770312308</v>
      </c>
      <c r="O75" s="26"/>
      <c r="P75" s="31">
        <f>+P71-P73</f>
        <v>7165.589999999982</v>
      </c>
      <c r="Q75" s="13"/>
      <c r="R75" s="34">
        <f>IF(P$12=0,0,P75/P$12)</f>
        <v>2.2222535796580466E-2</v>
      </c>
      <c r="S75" s="13"/>
      <c r="T75" s="31">
        <f>+T71-T73</f>
        <v>-8728.3197711346438</v>
      </c>
      <c r="U75" s="13"/>
      <c r="V75" s="34">
        <f>IF(T$12=0,0,T75/T$12)</f>
        <v>-2.5786963321499903E-2</v>
      </c>
      <c r="W75" s="16"/>
      <c r="X75" s="31">
        <f>P75-T75</f>
        <v>15893.909771134626</v>
      </c>
      <c r="Y75" s="16"/>
      <c r="Z75" s="34">
        <f>IF(T75=0,0,X75/T75)</f>
        <v>-1.8209586939856681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3">
        <f>SUM(D75:D77)</f>
        <v>43699.659999999989</v>
      </c>
      <c r="E78" s="13"/>
      <c r="F78" s="30">
        <f>IF(D$12=0,0,D78/D$12)</f>
        <v>0.82698724499451171</v>
      </c>
      <c r="G78" s="13"/>
      <c r="H78" s="33">
        <f>SUM(H75:H77)</f>
        <v>-5487.9060336153852</v>
      </c>
      <c r="I78" s="13"/>
      <c r="J78" s="30">
        <f>IF(H$12=0,0,H78/H$12)</f>
        <v>-0.15634614494217786</v>
      </c>
      <c r="K78" s="16"/>
      <c r="L78" s="33">
        <f>+D78-H78</f>
        <v>49187.566033615374</v>
      </c>
      <c r="M78" s="16"/>
      <c r="N78" s="30">
        <f>IF(H78=0,0,L78/H78)</f>
        <v>-8.9629023770312308</v>
      </c>
      <c r="O78" s="26"/>
      <c r="P78" s="33">
        <f>SUM(P75:P77)</f>
        <v>7165.589999999982</v>
      </c>
      <c r="Q78" s="13"/>
      <c r="R78" s="30">
        <f>IF(P$12=0,0,P78/P$12)</f>
        <v>2.2222535796580466E-2</v>
      </c>
      <c r="S78" s="13"/>
      <c r="T78" s="33">
        <f>SUM(T75:T77)</f>
        <v>-8728.3197711346438</v>
      </c>
      <c r="U78" s="13"/>
      <c r="V78" s="30">
        <f>IF(T$12=0,0,T78/T$12)</f>
        <v>-2.5786963321499903E-2</v>
      </c>
      <c r="W78" s="16"/>
      <c r="X78" s="33">
        <f>+P78-T78</f>
        <v>15893.909771134626</v>
      </c>
      <c r="Y78" s="16"/>
      <c r="Z78" s="30">
        <f>IF(T78=0,0,X78/T78)</f>
        <v>-1.8209586939856681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>
        <v>44174.679259606484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7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3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str">
        <f>CONCATENATE("Period ",RIGHT(202105,2),", ",2021)</f>
        <v>Period 05, 2021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4">
        <v>44163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52842</v>
      </c>
      <c r="E12" s="4"/>
      <c r="F12" s="12"/>
      <c r="G12" s="4"/>
      <c r="H12" s="4">
        <f>SUM(OSRRefH13x_0)</f>
        <v>35101</v>
      </c>
      <c r="I12" s="4"/>
      <c r="J12" s="12"/>
      <c r="K12" s="4"/>
      <c r="L12" s="4">
        <f t="shared" ref="L12:L13" si="0">+D12-H12</f>
        <v>17741</v>
      </c>
      <c r="M12" s="4"/>
      <c r="N12" s="12">
        <f t="shared" ref="N12:N13" si="1">IF(H12=0,0,L12/H12)</f>
        <v>0.50542719580638729</v>
      </c>
      <c r="O12" s="10"/>
      <c r="P12" s="4">
        <f>SUM(OSRRefP13x_0)</f>
        <v>322447</v>
      </c>
      <c r="Q12" s="4"/>
      <c r="R12" s="12"/>
      <c r="S12" s="4"/>
      <c r="T12" s="4">
        <f>SUM(OSRRefT13x_0)</f>
        <v>338478</v>
      </c>
      <c r="U12" s="4"/>
      <c r="V12" s="12"/>
      <c r="W12" s="4"/>
      <c r="X12" s="4">
        <f t="shared" ref="X12:X13" si="2">+P12-T12</f>
        <v>-16031</v>
      </c>
      <c r="Y12" s="4"/>
      <c r="Z12" s="12">
        <f t="shared" ref="Z12:Z13" si="3">IF(T12=0,0,X12/T12)</f>
        <v>-4.7362014665650355E-2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--52842</f>
        <v>52842</v>
      </c>
      <c r="E13" s="2"/>
      <c r="F13" s="22"/>
      <c r="G13" s="2"/>
      <c r="H13" s="2">
        <v>35101</v>
      </c>
      <c r="I13" s="2"/>
      <c r="J13" s="22"/>
      <c r="K13" s="2"/>
      <c r="L13" s="2">
        <f t="shared" si="0"/>
        <v>17741</v>
      </c>
      <c r="M13" s="2"/>
      <c r="N13" s="22">
        <f t="shared" si="1"/>
        <v>0.50542719580638729</v>
      </c>
      <c r="O13" s="11"/>
      <c r="P13" s="2">
        <f>--322447</f>
        <v>322447</v>
      </c>
      <c r="Q13" s="2"/>
      <c r="R13" s="22"/>
      <c r="S13" s="2"/>
      <c r="T13" s="2">
        <v>338478</v>
      </c>
      <c r="U13" s="2"/>
      <c r="V13" s="22"/>
      <c r="W13" s="2"/>
      <c r="X13" s="2">
        <f t="shared" si="2"/>
        <v>-16031</v>
      </c>
      <c r="Y13" s="2"/>
      <c r="Z13" s="22">
        <f t="shared" si="3"/>
        <v>-4.7362014665650355E-2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52842</v>
      </c>
      <c r="E17" s="13"/>
      <c r="F17" s="20">
        <f>IF(D$12=0,0,D17/D$12)</f>
        <v>1</v>
      </c>
      <c r="G17" s="13"/>
      <c r="H17" s="21">
        <f>H12-H15</f>
        <v>35101</v>
      </c>
      <c r="I17" s="13"/>
      <c r="J17" s="20">
        <f>IF(H$12=0,0,H17/H$12)</f>
        <v>1</v>
      </c>
      <c r="K17" s="16"/>
      <c r="L17" s="21">
        <f>+D17-H17</f>
        <v>17741</v>
      </c>
      <c r="M17" s="16"/>
      <c r="N17" s="20">
        <f>IF(H17=0,0,L17/H17)</f>
        <v>0.50542719580638729</v>
      </c>
      <c r="O17" s="26"/>
      <c r="P17" s="21">
        <f>P12-P15</f>
        <v>322447</v>
      </c>
      <c r="Q17" s="13"/>
      <c r="R17" s="20">
        <f>IF(P$12=0,0,P17/P$12)</f>
        <v>1</v>
      </c>
      <c r="S17" s="13"/>
      <c r="T17" s="21">
        <f>T12-T15</f>
        <v>338478</v>
      </c>
      <c r="U17" s="13"/>
      <c r="V17" s="20">
        <f>IF(T$12=0,0,T17/T$12)</f>
        <v>1</v>
      </c>
      <c r="W17" s="16"/>
      <c r="X17" s="21">
        <f>+P17-T17</f>
        <v>-16031</v>
      </c>
      <c r="Y17" s="16"/>
      <c r="Z17" s="20">
        <f>IF(T17=0,0,X17/T17)</f>
        <v>-4.7362014665650355E-2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19">
        <f>SUM(OSRRefD22x_0)</f>
        <v>16452.790000000005</v>
      </c>
      <c r="E19" s="19"/>
      <c r="F19" s="35">
        <f t="shared" ref="F19:F30" si="4">IF(D$12=0,0,D19/D$12)</f>
        <v>0.31135819991673297</v>
      </c>
      <c r="G19" s="19"/>
      <c r="H19" s="19">
        <f>SUM(OSRRefH22x_0)</f>
        <v>31539.906033615385</v>
      </c>
      <c r="I19" s="19"/>
      <c r="J19" s="35">
        <f t="shared" ref="J19:J30" si="5">IF(H$12=0,0,H19/H$12)</f>
        <v>0.89854722183457414</v>
      </c>
      <c r="K19" s="4"/>
      <c r="L19" s="19">
        <f t="shared" ref="L19:L30" si="6">+D19-H19</f>
        <v>-15087.116033615381</v>
      </c>
      <c r="M19" s="4"/>
      <c r="N19" s="35">
        <f t="shared" ref="N19:N30" si="7">IF(H19=0,0,L19/H19)</f>
        <v>-0.47835006285483095</v>
      </c>
      <c r="O19" s="10"/>
      <c r="P19" s="19">
        <f>SUM(OSRRefP22x_0)</f>
        <v>265164.77</v>
      </c>
      <c r="Q19" s="19"/>
      <c r="R19" s="35">
        <f t="shared" ref="R19:R30" si="8">IF(P$12=0,0,P19/P$12)</f>
        <v>0.82235148722115581</v>
      </c>
      <c r="S19" s="19"/>
      <c r="T19" s="19">
        <f>SUM(OSRRefT22x_0)</f>
        <v>300488.31977113464</v>
      </c>
      <c r="U19" s="19"/>
      <c r="V19" s="35">
        <f t="shared" ref="V19:V30" si="9">IF(T$12=0,0,T19/T$12)</f>
        <v>0.88776322174893096</v>
      </c>
      <c r="W19" s="4"/>
      <c r="X19" s="19">
        <f t="shared" ref="X19:X30" si="10">+P19-T19</f>
        <v>-35323.549771134625</v>
      </c>
      <c r="Y19" s="4"/>
      <c r="Z19" s="35">
        <f t="shared" ref="Z19:Z30" si="11">IF(T19=0,0,X19/T19)</f>
        <v>-0.11755381972263888</v>
      </c>
    </row>
    <row r="20" spans="1:26" s="29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4514.01</v>
      </c>
      <c r="E20" s="1"/>
      <c r="F20" s="5">
        <f t="shared" si="4"/>
        <v>8.5424662200522319E-2</v>
      </c>
      <c r="G20" s="1"/>
      <c r="H20" s="1">
        <f>SUM(OSRRefH22_0x_0)</f>
        <v>3643.6402643846163</v>
      </c>
      <c r="I20" s="1"/>
      <c r="J20" s="5">
        <f t="shared" si="5"/>
        <v>0.10380445754777973</v>
      </c>
      <c r="K20" s="1"/>
      <c r="L20" s="1">
        <f t="shared" si="6"/>
        <v>870.36973561538389</v>
      </c>
      <c r="M20" s="1"/>
      <c r="N20" s="5">
        <f t="shared" si="7"/>
        <v>0.2388736737056513</v>
      </c>
      <c r="O20" s="14"/>
      <c r="P20" s="1">
        <f>SUM(OSRRefP22_0x_0)</f>
        <v>21372.75</v>
      </c>
      <c r="Q20" s="1"/>
      <c r="R20" s="5">
        <f t="shared" si="8"/>
        <v>6.6282986041116834E-2</v>
      </c>
      <c r="S20" s="1"/>
      <c r="T20" s="1">
        <f>SUM(OSRRefT22_0x_0)</f>
        <v>22102.401790365388</v>
      </c>
      <c r="U20" s="1"/>
      <c r="V20" s="5">
        <f t="shared" si="9"/>
        <v>6.5299374820122394E-2</v>
      </c>
      <c r="W20" s="1"/>
      <c r="X20" s="1">
        <f t="shared" si="10"/>
        <v>-729.65179036538757</v>
      </c>
      <c r="Y20" s="1"/>
      <c r="Z20" s="5">
        <f t="shared" si="11"/>
        <v>-3.3012330392231337E-2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6">
        <v>830.29</v>
      </c>
      <c r="E21" s="2"/>
      <c r="F21" s="7">
        <f t="shared" si="4"/>
        <v>1.5712690662730403E-2</v>
      </c>
      <c r="G21" s="2"/>
      <c r="H21" s="6">
        <v>718.85158823076904</v>
      </c>
      <c r="I21" s="2"/>
      <c r="J21" s="7">
        <f t="shared" si="5"/>
        <v>2.0479518766723714E-2</v>
      </c>
      <c r="K21" s="2"/>
      <c r="L21" s="6">
        <f t="shared" si="6"/>
        <v>111.43841176923092</v>
      </c>
      <c r="M21" s="2"/>
      <c r="N21" s="7">
        <f t="shared" si="7"/>
        <v>0.15502283585893178</v>
      </c>
      <c r="O21" s="11"/>
      <c r="P21" s="6">
        <v>5351.93</v>
      </c>
      <c r="Q21" s="2"/>
      <c r="R21" s="7">
        <f t="shared" si="8"/>
        <v>1.6597859493188028E-2</v>
      </c>
      <c r="S21" s="2"/>
      <c r="T21" s="6">
        <v>5769.9606590192307</v>
      </c>
      <c r="U21" s="2"/>
      <c r="V21" s="7">
        <f t="shared" si="9"/>
        <v>1.7046781944525878E-2</v>
      </c>
      <c r="W21" s="2"/>
      <c r="X21" s="6">
        <f t="shared" si="10"/>
        <v>-418.03065901923037</v>
      </c>
      <c r="Y21" s="2"/>
      <c r="Z21" s="7">
        <f t="shared" si="11"/>
        <v>-7.2449481672945515E-2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6">
        <v>171.99</v>
      </c>
      <c r="E22" s="2"/>
      <c r="F22" s="7">
        <f t="shared" si="4"/>
        <v>3.2547973203133872E-3</v>
      </c>
      <c r="G22" s="2"/>
      <c r="H22" s="6">
        <v>311.134280769231</v>
      </c>
      <c r="I22" s="2"/>
      <c r="J22" s="7">
        <f t="shared" si="5"/>
        <v>8.8639719885254264E-3</v>
      </c>
      <c r="K22" s="2"/>
      <c r="L22" s="6">
        <f t="shared" si="6"/>
        <v>-139.14428076923099</v>
      </c>
      <c r="M22" s="2"/>
      <c r="N22" s="7">
        <f t="shared" si="7"/>
        <v>-0.44721616796843616</v>
      </c>
      <c r="O22" s="11"/>
      <c r="P22" s="6">
        <v>495.53</v>
      </c>
      <c r="Q22" s="2"/>
      <c r="R22" s="7">
        <f t="shared" si="8"/>
        <v>1.5367796878246658E-3</v>
      </c>
      <c r="S22" s="2"/>
      <c r="T22" s="6">
        <v>1819.3779817307709</v>
      </c>
      <c r="U22" s="2"/>
      <c r="V22" s="7">
        <f t="shared" si="9"/>
        <v>5.3751735171289443E-3</v>
      </c>
      <c r="W22" s="2"/>
      <c r="X22" s="6">
        <f t="shared" si="10"/>
        <v>-1323.8479817307709</v>
      </c>
      <c r="Y22" s="2"/>
      <c r="Z22" s="7">
        <f t="shared" si="11"/>
        <v>-0.72763768443069576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2.3285454751901895E-2</v>
      </c>
      <c r="G23" s="2"/>
      <c r="H23" s="6">
        <v>1025</v>
      </c>
      <c r="I23" s="2"/>
      <c r="J23" s="7">
        <f t="shared" si="5"/>
        <v>2.9201447252215035E-2</v>
      </c>
      <c r="K23" s="2"/>
      <c r="L23" s="6">
        <f t="shared" si="6"/>
        <v>205.45000000000005</v>
      </c>
      <c r="M23" s="2"/>
      <c r="N23" s="7">
        <f t="shared" si="7"/>
        <v>0.20043902439024394</v>
      </c>
      <c r="O23" s="11"/>
      <c r="P23" s="6">
        <v>6172.55</v>
      </c>
      <c r="Q23" s="2"/>
      <c r="R23" s="7">
        <f t="shared" si="8"/>
        <v>1.9142835876903803E-2</v>
      </c>
      <c r="S23" s="2"/>
      <c r="T23" s="6">
        <v>5457.5</v>
      </c>
      <c r="U23" s="2"/>
      <c r="V23" s="7">
        <f t="shared" si="9"/>
        <v>1.6123647622592902E-2</v>
      </c>
      <c r="W23" s="2"/>
      <c r="X23" s="6">
        <f t="shared" si="10"/>
        <v>715.05000000000018</v>
      </c>
      <c r="Y23" s="2"/>
      <c r="Z23" s="7">
        <f t="shared" si="11"/>
        <v>0.13102153000458089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68.3</v>
      </c>
      <c r="E24" s="2"/>
      <c r="F24" s="7">
        <f t="shared" si="4"/>
        <v>1.2925324552439347E-3</v>
      </c>
      <c r="G24" s="2"/>
      <c r="H24" s="6">
        <v>43.726979999999998</v>
      </c>
      <c r="I24" s="2"/>
      <c r="J24" s="7">
        <f t="shared" si="5"/>
        <v>1.2457474146035726E-3</v>
      </c>
      <c r="K24" s="2"/>
      <c r="L24" s="6">
        <f t="shared" si="6"/>
        <v>24.57302</v>
      </c>
      <c r="M24" s="2"/>
      <c r="N24" s="7">
        <f t="shared" si="7"/>
        <v>0.56196471835008965</v>
      </c>
      <c r="O24" s="11"/>
      <c r="P24" s="6">
        <v>214.6</v>
      </c>
      <c r="Q24" s="2"/>
      <c r="R24" s="7">
        <f t="shared" si="8"/>
        <v>6.6553573145354116E-4</v>
      </c>
      <c r="S24" s="2"/>
      <c r="T24" s="6">
        <v>255.69636499999999</v>
      </c>
      <c r="U24" s="2"/>
      <c r="V24" s="7">
        <f t="shared" si="9"/>
        <v>7.5542979159649957E-4</v>
      </c>
      <c r="W24" s="2"/>
      <c r="X24" s="6">
        <f t="shared" si="10"/>
        <v>-41.096364999999992</v>
      </c>
      <c r="Y24" s="2"/>
      <c r="Z24" s="7">
        <f t="shared" si="11"/>
        <v>-0.16072330555031547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6">
        <v>1318.86</v>
      </c>
      <c r="E25" s="2"/>
      <c r="F25" s="7">
        <f t="shared" si="4"/>
        <v>2.4958555694334049E-2</v>
      </c>
      <c r="G25" s="2"/>
      <c r="H25" s="6">
        <v>560.123953846154</v>
      </c>
      <c r="I25" s="2"/>
      <c r="J25" s="7">
        <f t="shared" si="5"/>
        <v>1.595749277360058E-2</v>
      </c>
      <c r="K25" s="2"/>
      <c r="L25" s="6">
        <f t="shared" si="6"/>
        <v>758.7360461538459</v>
      </c>
      <c r="M25" s="2"/>
      <c r="N25" s="7">
        <f t="shared" si="7"/>
        <v>1.354585964310042</v>
      </c>
      <c r="O25" s="11"/>
      <c r="P25" s="6">
        <v>4179.3500000000004</v>
      </c>
      <c r="Q25" s="2"/>
      <c r="R25" s="7">
        <f t="shared" si="8"/>
        <v>1.296135488933065E-2</v>
      </c>
      <c r="S25" s="2"/>
      <c r="T25" s="6">
        <v>3326.028996153846</v>
      </c>
      <c r="U25" s="2"/>
      <c r="V25" s="7">
        <f t="shared" si="9"/>
        <v>9.8264259306479178E-3</v>
      </c>
      <c r="W25" s="2"/>
      <c r="X25" s="6">
        <f t="shared" si="10"/>
        <v>853.32100384615433</v>
      </c>
      <c r="Y25" s="2"/>
      <c r="Z25" s="7">
        <f t="shared" si="11"/>
        <v>0.25655849808673281</v>
      </c>
    </row>
    <row r="26" spans="1:26" s="24" customFormat="1" hidden="1" outlineLevel="2" x14ac:dyDescent="0.25">
      <c r="A26" s="28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8"/>
      <c r="B27" s="11" t="str">
        <f>CONCATENATE("          ", "6117", " - ", "RETIREMENT STAFF HOURLY")</f>
        <v xml:space="preserve">          6117 - RETIREMENT STAFF HOURLY</v>
      </c>
      <c r="C27" s="11"/>
      <c r="D27" s="6">
        <v>74.84</v>
      </c>
      <c r="E27" s="2"/>
      <c r="F27" s="7">
        <f t="shared" si="4"/>
        <v>1.4162976420271755E-3</v>
      </c>
      <c r="G27" s="2"/>
      <c r="H27" s="6"/>
      <c r="I27" s="2"/>
      <c r="J27" s="7">
        <f t="shared" si="5"/>
        <v>0</v>
      </c>
      <c r="K27" s="2"/>
      <c r="L27" s="6">
        <f t="shared" si="6"/>
        <v>74.84</v>
      </c>
      <c r="M27" s="2"/>
      <c r="N27" s="7">
        <f t="shared" si="7"/>
        <v>0</v>
      </c>
      <c r="O27" s="11"/>
      <c r="P27" s="6">
        <v>452.74</v>
      </c>
      <c r="Q27" s="2"/>
      <c r="R27" s="7">
        <f t="shared" si="8"/>
        <v>1.404075708566059E-3</v>
      </c>
      <c r="S27" s="2"/>
      <c r="T27" s="6"/>
      <c r="U27" s="2"/>
      <c r="V27" s="7">
        <f t="shared" si="9"/>
        <v>0</v>
      </c>
      <c r="W27" s="2"/>
      <c r="X27" s="6">
        <f t="shared" si="10"/>
        <v>452.74</v>
      </c>
      <c r="Y27" s="2"/>
      <c r="Z27" s="7">
        <f t="shared" si="11"/>
        <v>0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9.841035539911433E-3</v>
      </c>
      <c r="G28" s="2"/>
      <c r="H28" s="6">
        <v>195.39207692307698</v>
      </c>
      <c r="I28" s="2"/>
      <c r="J28" s="7">
        <f t="shared" si="5"/>
        <v>5.5665672466048543E-3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2860.11</v>
      </c>
      <c r="Q28" s="2"/>
      <c r="R28" s="7">
        <f t="shared" si="8"/>
        <v>8.8700158475656463E-3</v>
      </c>
      <c r="S28" s="2"/>
      <c r="T28" s="6">
        <v>1160.242673076923</v>
      </c>
      <c r="U28" s="2"/>
      <c r="V28" s="7">
        <f t="shared" si="9"/>
        <v>3.4278229990632272E-3</v>
      </c>
      <c r="W28" s="2"/>
      <c r="X28" s="6">
        <f t="shared" si="10"/>
        <v>1699.8673269230771</v>
      </c>
      <c r="Y28" s="2"/>
      <c r="Z28" s="7">
        <f t="shared" si="11"/>
        <v>1.4650963685166729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5.6632981340600276E-3</v>
      </c>
      <c r="G29" s="2"/>
      <c r="H29" s="6">
        <v>439.41138461538497</v>
      </c>
      <c r="I29" s="2"/>
      <c r="J29" s="7">
        <f t="shared" si="5"/>
        <v>1.2518486214506281E-2</v>
      </c>
      <c r="K29" s="2"/>
      <c r="L29" s="6">
        <f t="shared" si="6"/>
        <v>-140.15138461538498</v>
      </c>
      <c r="M29" s="2"/>
      <c r="N29" s="7">
        <f t="shared" si="7"/>
        <v>-0.31895255681201551</v>
      </c>
      <c r="O29" s="11"/>
      <c r="P29" s="6">
        <v>1645.94</v>
      </c>
      <c r="Q29" s="2"/>
      <c r="R29" s="7">
        <f t="shared" si="8"/>
        <v>5.1045288062844434E-3</v>
      </c>
      <c r="S29" s="2"/>
      <c r="T29" s="6">
        <v>2563.5951153846167</v>
      </c>
      <c r="U29" s="2"/>
      <c r="V29" s="7">
        <f t="shared" si="9"/>
        <v>7.5738899289898211E-3</v>
      </c>
      <c r="W29" s="2"/>
      <c r="X29" s="6">
        <f t="shared" si="10"/>
        <v>-917.65511538461669</v>
      </c>
      <c r="Y29" s="2"/>
      <c r="Z29" s="7">
        <f t="shared" si="11"/>
        <v>-0.35795633634874541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9.9712258910002564E-3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1750</v>
      </c>
      <c r="U30" s="2"/>
      <c r="V30" s="7">
        <f t="shared" si="9"/>
        <v>5.1702030855772015E-3</v>
      </c>
      <c r="W30" s="2"/>
      <c r="X30" s="6">
        <f t="shared" si="10"/>
        <v>-1750</v>
      </c>
      <c r="Y30" s="2"/>
      <c r="Z30" s="7">
        <f t="shared" si="11"/>
        <v>-1</v>
      </c>
    </row>
    <row r="31" spans="1:26" s="29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10918.12</v>
      </c>
      <c r="E31" s="1"/>
      <c r="F31" s="5">
        <f t="shared" ref="F31:F41" si="12">IF(D$12=0,0,D31/D$12)</f>
        <v>0.20661822035502064</v>
      </c>
      <c r="G31" s="1"/>
      <c r="H31" s="1">
        <f>SUM(OSRRefH22_1x_0)</f>
        <v>16183.265769230769</v>
      </c>
      <c r="I31" s="1"/>
      <c r="J31" s="5">
        <f t="shared" ref="J31:J41" si="13">IF(H$12=0,0,H31/H$12)</f>
        <v>0.46104856754026291</v>
      </c>
      <c r="K31" s="1"/>
      <c r="L31" s="1">
        <f t="shared" ref="L31:L41" si="14">+D31-H31</f>
        <v>-5265.1457692307686</v>
      </c>
      <c r="M31" s="1"/>
      <c r="N31" s="5">
        <f t="shared" ref="N31:N41" si="15">IF(H31=0,0,L31/H31)</f>
        <v>-0.32534507214491815</v>
      </c>
      <c r="O31" s="14"/>
      <c r="P31" s="1">
        <f>SUM(OSRRefP22_1x_0)</f>
        <v>72655.399999999994</v>
      </c>
      <c r="Q31" s="1"/>
      <c r="R31" s="5">
        <f t="shared" ref="R31:R41" si="16">IF(P$12=0,0,P31/P$12)</f>
        <v>0.22532509218569252</v>
      </c>
      <c r="S31" s="1"/>
      <c r="T31" s="1">
        <f>SUM(OSRRefT22_1x_0)</f>
        <v>94620.917980769242</v>
      </c>
      <c r="U31" s="1"/>
      <c r="V31" s="5">
        <f t="shared" ref="V31:V41" si="17">IF(T$12=0,0,T31/T$12)</f>
        <v>0.27954820691675453</v>
      </c>
      <c r="W31" s="1"/>
      <c r="X31" s="1">
        <f t="shared" ref="X31:X41" si="18">+P31-T31</f>
        <v>-21965.517980769248</v>
      </c>
      <c r="Y31" s="1"/>
      <c r="Z31" s="5">
        <f t="shared" ref="Z31:Z41" si="19">IF(T31=0,0,X31/T31)</f>
        <v>-0.2321423047833199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6">
        <v>3995.44</v>
      </c>
      <c r="E32" s="2"/>
      <c r="F32" s="7">
        <f t="shared" si="12"/>
        <v>7.5611066954316644E-2</v>
      </c>
      <c r="G32" s="2"/>
      <c r="H32" s="6">
        <v>4019.23076923077</v>
      </c>
      <c r="I32" s="2"/>
      <c r="J32" s="7">
        <f t="shared" si="13"/>
        <v>0.1145047368801678</v>
      </c>
      <c r="K32" s="2"/>
      <c r="L32" s="6">
        <f t="shared" si="14"/>
        <v>-23.790769230769911</v>
      </c>
      <c r="M32" s="2"/>
      <c r="N32" s="7">
        <f t="shared" si="15"/>
        <v>-5.919234449760934E-3</v>
      </c>
      <c r="O32" s="11"/>
      <c r="P32" s="6">
        <v>21869.74</v>
      </c>
      <c r="Q32" s="2"/>
      <c r="R32" s="7">
        <f t="shared" si="16"/>
        <v>6.7824293604840491E-2</v>
      </c>
      <c r="S32" s="2"/>
      <c r="T32" s="6">
        <v>22105.76923076923</v>
      </c>
      <c r="U32" s="2"/>
      <c r="V32" s="7">
        <f t="shared" si="17"/>
        <v>6.5309323591988933E-2</v>
      </c>
      <c r="W32" s="2"/>
      <c r="X32" s="6">
        <f t="shared" si="18"/>
        <v>-236.02923076922889</v>
      </c>
      <c r="Y32" s="2"/>
      <c r="Z32" s="7">
        <f t="shared" si="19"/>
        <v>-1.0677268377555374E-2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6">
        <v>1939.95</v>
      </c>
      <c r="E33" s="2"/>
      <c r="F33" s="7">
        <f t="shared" si="12"/>
        <v>3.6712274327239697E-2</v>
      </c>
      <c r="G33" s="2"/>
      <c r="H33" s="6">
        <v>2168.1849999999999</v>
      </c>
      <c r="I33" s="2"/>
      <c r="J33" s="7">
        <f t="shared" si="13"/>
        <v>6.1769892595652541E-2</v>
      </c>
      <c r="K33" s="2"/>
      <c r="L33" s="6">
        <f t="shared" si="14"/>
        <v>-228.2349999999999</v>
      </c>
      <c r="M33" s="2"/>
      <c r="N33" s="7">
        <f t="shared" si="15"/>
        <v>-0.10526546397101719</v>
      </c>
      <c r="O33" s="11"/>
      <c r="P33" s="6">
        <v>11753.84</v>
      </c>
      <c r="Q33" s="2"/>
      <c r="R33" s="7">
        <f t="shared" si="16"/>
        <v>3.6452006066113193E-2</v>
      </c>
      <c r="S33" s="2"/>
      <c r="T33" s="6">
        <v>14635.248750000001</v>
      </c>
      <c r="U33" s="2"/>
      <c r="V33" s="7">
        <f t="shared" si="17"/>
        <v>4.3238404711679931E-2</v>
      </c>
      <c r="W33" s="2"/>
      <c r="X33" s="6">
        <f t="shared" si="18"/>
        <v>-2881.4087500000005</v>
      </c>
      <c r="Y33" s="2"/>
      <c r="Z33" s="7">
        <f t="shared" si="19"/>
        <v>-0.19688143325886417</v>
      </c>
    </row>
    <row r="34" spans="1:26" s="24" customFormat="1" hidden="1" outlineLevel="2" x14ac:dyDescent="0.25">
      <c r="A34" s="28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8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7.9587476140280902E-2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14666.4</v>
      </c>
      <c r="U35" s="2"/>
      <c r="V35" s="7">
        <f t="shared" si="17"/>
        <v>4.3330438019605406E-2</v>
      </c>
      <c r="W35" s="2"/>
      <c r="X35" s="6">
        <f t="shared" si="18"/>
        <v>-14666.4</v>
      </c>
      <c r="Y35" s="2"/>
      <c r="Z35" s="7">
        <f t="shared" si="19"/>
        <v>-1</v>
      </c>
    </row>
    <row r="36" spans="1:26" s="24" customFormat="1" hidden="1" outlineLevel="2" x14ac:dyDescent="0.25">
      <c r="A36" s="28"/>
      <c r="B36" s="11" t="str">
        <f>CONCATENATE("          ", "6005", " - ", "TEMPORARY WAGES-HOURLY")</f>
        <v xml:space="preserve">          6005 - TEMPORARY WAGES-HOURLY</v>
      </c>
      <c r="C36" s="11"/>
      <c r="D36" s="6">
        <v>3993.44</v>
      </c>
      <c r="E36" s="2"/>
      <c r="F36" s="7">
        <f t="shared" si="12"/>
        <v>7.5573218273343179E-2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3993.44</v>
      </c>
      <c r="M36" s="2"/>
      <c r="N36" s="7">
        <f t="shared" si="15"/>
        <v>0</v>
      </c>
      <c r="O36" s="11"/>
      <c r="P36" s="6">
        <v>33346.76</v>
      </c>
      <c r="Q36" s="2"/>
      <c r="R36" s="7">
        <f t="shared" si="16"/>
        <v>0.10341780199536668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33346.76</v>
      </c>
      <c r="Y36" s="2"/>
      <c r="Z36" s="7">
        <f t="shared" si="19"/>
        <v>0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6">
        <v>504.75</v>
      </c>
      <c r="E38" s="2"/>
      <c r="F38" s="7">
        <f t="shared" si="12"/>
        <v>9.5520608606790049E-3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504.75</v>
      </c>
      <c r="M38" s="2"/>
      <c r="N38" s="7">
        <f t="shared" si="15"/>
        <v>0</v>
      </c>
      <c r="O38" s="11"/>
      <c r="P38" s="6">
        <v>3315.98</v>
      </c>
      <c r="Q38" s="2"/>
      <c r="R38" s="7">
        <f t="shared" si="16"/>
        <v>1.0283798577750762E-2</v>
      </c>
      <c r="S38" s="2"/>
      <c r="T38" s="6">
        <v>20952</v>
      </c>
      <c r="U38" s="2"/>
      <c r="V38" s="7">
        <f t="shared" si="17"/>
        <v>6.1900625742293443E-2</v>
      </c>
      <c r="W38" s="2"/>
      <c r="X38" s="6">
        <f t="shared" si="18"/>
        <v>-17636.02</v>
      </c>
      <c r="Y38" s="2"/>
      <c r="Z38" s="7">
        <f t="shared" si="19"/>
        <v>-0.84173444062619318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6">
        <v>484.54</v>
      </c>
      <c r="E39" s="2"/>
      <c r="F39" s="7">
        <f t="shared" si="12"/>
        <v>9.1695999394421114E-3</v>
      </c>
      <c r="G39" s="2"/>
      <c r="H39" s="6">
        <v>7202.25</v>
      </c>
      <c r="I39" s="2"/>
      <c r="J39" s="7">
        <f t="shared" si="13"/>
        <v>0.20518646192416171</v>
      </c>
      <c r="K39" s="2"/>
      <c r="L39" s="6">
        <f t="shared" si="14"/>
        <v>-6717.71</v>
      </c>
      <c r="M39" s="2"/>
      <c r="N39" s="7">
        <f t="shared" si="15"/>
        <v>-0.93272380158978097</v>
      </c>
      <c r="O39" s="11"/>
      <c r="P39" s="6">
        <v>2369.08</v>
      </c>
      <c r="Q39" s="2"/>
      <c r="R39" s="7">
        <f t="shared" si="16"/>
        <v>7.3471919416214131E-3</v>
      </c>
      <c r="S39" s="2"/>
      <c r="T39" s="6">
        <v>22261.5</v>
      </c>
      <c r="U39" s="2"/>
      <c r="V39" s="7">
        <f t="shared" si="17"/>
        <v>6.5769414851186786E-2</v>
      </c>
      <c r="W39" s="2"/>
      <c r="X39" s="6">
        <f t="shared" si="18"/>
        <v>-19892.419999999998</v>
      </c>
      <c r="Y39" s="2"/>
      <c r="Z39" s="7">
        <f t="shared" si="19"/>
        <v>-0.89357949823686622</v>
      </c>
    </row>
    <row r="40" spans="1:26" s="24" customFormat="1" hidden="1" outlineLevel="2" x14ac:dyDescent="0.25">
      <c r="A40" s="28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8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2.8489216831429306E-3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500</v>
      </c>
      <c r="U42" s="1"/>
      <c r="V42" s="5">
        <f t="shared" ref="V42:V50" si="25">IF(T$12=0,0,T42/T$12)</f>
        <v>1.4772008815934861E-3</v>
      </c>
      <c r="W42" s="1"/>
      <c r="X42" s="1">
        <f t="shared" ref="X42:X50" si="26">+P42-T42</f>
        <v>-500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8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2.8489216831429306E-3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500</v>
      </c>
      <c r="U43" s="2"/>
      <c r="V43" s="7">
        <f t="shared" si="25"/>
        <v>1.4772008815934861E-3</v>
      </c>
      <c r="W43" s="2"/>
      <c r="X43" s="6">
        <f t="shared" si="26"/>
        <v>-500</v>
      </c>
      <c r="Y43" s="2"/>
      <c r="Z43" s="7">
        <f t="shared" si="27"/>
        <v>-1</v>
      </c>
    </row>
    <row r="44" spans="1:26" s="29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54.7</v>
      </c>
      <c r="E44" s="1"/>
      <c r="F44" s="5">
        <f t="shared" si="20"/>
        <v>1.0351614246243519E-3</v>
      </c>
      <c r="G44" s="1"/>
      <c r="H44" s="1">
        <f>SUM(OSRRefH22_3x_0)</f>
        <v>1500</v>
      </c>
      <c r="I44" s="1"/>
      <c r="J44" s="5">
        <f t="shared" si="21"/>
        <v>4.2733825247143954E-2</v>
      </c>
      <c r="K44" s="1"/>
      <c r="L44" s="1">
        <f t="shared" si="22"/>
        <v>-1445.3</v>
      </c>
      <c r="M44" s="1"/>
      <c r="N44" s="5">
        <f t="shared" si="23"/>
        <v>-0.96353333333333335</v>
      </c>
      <c r="O44" s="14"/>
      <c r="P44" s="1">
        <f>SUM(OSRRefP22_3x_0)</f>
        <v>574.16999999999996</v>
      </c>
      <c r="Q44" s="1"/>
      <c r="R44" s="5">
        <f t="shared" si="24"/>
        <v>1.7806647293973892E-3</v>
      </c>
      <c r="S44" s="1"/>
      <c r="T44" s="1">
        <f>SUM(OSRRefT22_3x_0)</f>
        <v>7700</v>
      </c>
      <c r="U44" s="1"/>
      <c r="V44" s="5">
        <f t="shared" si="25"/>
        <v>2.2748893576539687E-2</v>
      </c>
      <c r="W44" s="1"/>
      <c r="X44" s="1">
        <f t="shared" si="26"/>
        <v>-7125.83</v>
      </c>
      <c r="Y44" s="1"/>
      <c r="Z44" s="5">
        <f t="shared" si="27"/>
        <v>-0.92543246753246755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6">
        <v>54.7</v>
      </c>
      <c r="E45" s="2"/>
      <c r="F45" s="7">
        <f t="shared" si="20"/>
        <v>1.0351614246243519E-3</v>
      </c>
      <c r="G45" s="2"/>
      <c r="H45" s="6">
        <v>1500</v>
      </c>
      <c r="I45" s="2"/>
      <c r="J45" s="7">
        <f t="shared" si="21"/>
        <v>4.2733825247143954E-2</v>
      </c>
      <c r="K45" s="2"/>
      <c r="L45" s="6">
        <f t="shared" si="22"/>
        <v>-1445.3</v>
      </c>
      <c r="M45" s="2"/>
      <c r="N45" s="7">
        <f t="shared" si="23"/>
        <v>-0.96353333333333335</v>
      </c>
      <c r="O45" s="11"/>
      <c r="P45" s="6">
        <v>574.16999999999996</v>
      </c>
      <c r="Q45" s="2"/>
      <c r="R45" s="7">
        <f t="shared" si="24"/>
        <v>1.7806647293973892E-3</v>
      </c>
      <c r="S45" s="2"/>
      <c r="T45" s="6">
        <v>7700</v>
      </c>
      <c r="U45" s="2"/>
      <c r="V45" s="7">
        <f t="shared" si="25"/>
        <v>2.2748893576539687E-2</v>
      </c>
      <c r="W45" s="2"/>
      <c r="X45" s="6">
        <f t="shared" si="26"/>
        <v>-7125.83</v>
      </c>
      <c r="Y45" s="2"/>
      <c r="Z45" s="7">
        <f t="shared" si="27"/>
        <v>-0.92543246753246755</v>
      </c>
    </row>
    <row r="46" spans="1:26" s="29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5.6978433662858605E-4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100</v>
      </c>
      <c r="U46" s="1"/>
      <c r="V46" s="5">
        <f t="shared" si="25"/>
        <v>2.9544017631869722E-4</v>
      </c>
      <c r="W46" s="1"/>
      <c r="X46" s="1">
        <f t="shared" si="26"/>
        <v>-100</v>
      </c>
      <c r="Y46" s="1"/>
      <c r="Z46" s="5">
        <f t="shared" si="2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5.6978433662858605E-4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100</v>
      </c>
      <c r="U47" s="2"/>
      <c r="V47" s="7">
        <f t="shared" si="25"/>
        <v>2.9544017631869722E-4</v>
      </c>
      <c r="W47" s="2"/>
      <c r="X47" s="6">
        <f t="shared" si="26"/>
        <v>-100</v>
      </c>
      <c r="Y47" s="2"/>
      <c r="Z47" s="7">
        <f t="shared" si="27"/>
        <v>-1</v>
      </c>
    </row>
    <row r="48" spans="1:26" s="29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2.8489216831429303E-4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6.5747239081151328E-6</v>
      </c>
      <c r="S48" s="1"/>
      <c r="T48" s="1">
        <f>SUM(OSRRefT22_5x_0)</f>
        <v>50</v>
      </c>
      <c r="U48" s="1"/>
      <c r="V48" s="5">
        <f t="shared" si="25"/>
        <v>1.4772008815934861E-4</v>
      </c>
      <c r="W48" s="1"/>
      <c r="X48" s="1">
        <f t="shared" si="26"/>
        <v>-47.88</v>
      </c>
      <c r="Y48" s="1"/>
      <c r="Z48" s="5">
        <f t="shared" si="27"/>
        <v>-0.95760000000000001</v>
      </c>
    </row>
    <row r="49" spans="1:26" s="24" customFormat="1" hidden="1" outlineLevel="2" x14ac:dyDescent="0.25">
      <c r="A49" s="28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1.62</v>
      </c>
      <c r="Q49" s="2"/>
      <c r="R49" s="7">
        <f t="shared" si="24"/>
        <v>5.024081476955903E-6</v>
      </c>
      <c r="S49" s="2"/>
      <c r="T49" s="6"/>
      <c r="U49" s="2"/>
      <c r="V49" s="7">
        <f t="shared" si="25"/>
        <v>0</v>
      </c>
      <c r="W49" s="2"/>
      <c r="X49" s="6">
        <f t="shared" si="26"/>
        <v>1.62</v>
      </c>
      <c r="Y49" s="2"/>
      <c r="Z49" s="7">
        <f t="shared" si="27"/>
        <v>0</v>
      </c>
    </row>
    <row r="50" spans="1:26" s="24" customFormat="1" hidden="1" outlineLevel="2" x14ac:dyDescent="0.25">
      <c r="A50" s="28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2.8489216831429303E-4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>
        <v>0.5</v>
      </c>
      <c r="Q50" s="2"/>
      <c r="R50" s="7">
        <f t="shared" si="24"/>
        <v>1.5506424311592292E-6</v>
      </c>
      <c r="S50" s="2"/>
      <c r="T50" s="6">
        <v>50</v>
      </c>
      <c r="U50" s="2"/>
      <c r="V50" s="7">
        <f t="shared" si="25"/>
        <v>1.4772008815934861E-4</v>
      </c>
      <c r="W50" s="2"/>
      <c r="X50" s="6">
        <f t="shared" si="26"/>
        <v>-49.5</v>
      </c>
      <c r="Y50" s="2"/>
      <c r="Z50" s="7">
        <f t="shared" si="27"/>
        <v>-0.99</v>
      </c>
    </row>
    <row r="51" spans="1:26" s="29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1.4244608415714653E-3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250</v>
      </c>
      <c r="U51" s="1"/>
      <c r="V51" s="5">
        <f t="shared" ref="V51:V61" si="33">IF(T$12=0,0,T51/T$12)</f>
        <v>7.3860044079674303E-4</v>
      </c>
      <c r="W51" s="1"/>
      <c r="X51" s="1">
        <f t="shared" ref="X51:X61" si="34">+P51-T51</f>
        <v>-250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1.4244608415714653E-3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250</v>
      </c>
      <c r="U52" s="2"/>
      <c r="V52" s="7">
        <f t="shared" si="33"/>
        <v>7.3860044079674303E-4</v>
      </c>
      <c r="W52" s="2"/>
      <c r="X52" s="6">
        <f t="shared" si="34"/>
        <v>-250</v>
      </c>
      <c r="Y52" s="2"/>
      <c r="Z52" s="7">
        <f t="shared" si="35"/>
        <v>-1</v>
      </c>
    </row>
    <row r="53" spans="1:26" s="29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5.4899511752015445E-4</v>
      </c>
      <c r="G53" s="1"/>
      <c r="H53" s="1">
        <f>SUM(OSRRefH22_7x_0)</f>
        <v>33</v>
      </c>
      <c r="I53" s="1"/>
      <c r="J53" s="5">
        <f t="shared" si="29"/>
        <v>9.4014415543716701E-4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145.05000000000001</v>
      </c>
      <c r="Q53" s="1"/>
      <c r="R53" s="5">
        <f t="shared" si="32"/>
        <v>4.4984136927929245E-4</v>
      </c>
      <c r="S53" s="1"/>
      <c r="T53" s="1">
        <f>SUM(OSRRefT22_7x_0)</f>
        <v>165</v>
      </c>
      <c r="U53" s="1"/>
      <c r="V53" s="5">
        <f t="shared" si="33"/>
        <v>4.8747629092585045E-4</v>
      </c>
      <c r="W53" s="1"/>
      <c r="X53" s="1">
        <f t="shared" si="34"/>
        <v>-19.949999999999989</v>
      </c>
      <c r="Y53" s="1"/>
      <c r="Z53" s="5">
        <f t="shared" si="35"/>
        <v>-0.12090909090909084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5.4899511752015445E-4</v>
      </c>
      <c r="G54" s="2"/>
      <c r="H54" s="6">
        <v>33</v>
      </c>
      <c r="I54" s="2"/>
      <c r="J54" s="7">
        <f t="shared" si="29"/>
        <v>9.4014415543716701E-4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145.05000000000001</v>
      </c>
      <c r="Q54" s="2"/>
      <c r="R54" s="7">
        <f t="shared" si="32"/>
        <v>4.4984136927929245E-4</v>
      </c>
      <c r="S54" s="2"/>
      <c r="T54" s="6">
        <v>165</v>
      </c>
      <c r="U54" s="2"/>
      <c r="V54" s="7">
        <f t="shared" si="33"/>
        <v>4.8747629092585045E-4</v>
      </c>
      <c r="W54" s="2"/>
      <c r="X54" s="6">
        <f t="shared" si="34"/>
        <v>-19.949999999999989</v>
      </c>
      <c r="Y54" s="2"/>
      <c r="Z54" s="7">
        <f t="shared" si="35"/>
        <v>-0.12090909090909084</v>
      </c>
    </row>
    <row r="55" spans="1:26" s="29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1.513947238938723E-2</v>
      </c>
      <c r="G55" s="1"/>
      <c r="H55" s="1">
        <f>SUM(OSRRefH22_8x_0)</f>
        <v>800</v>
      </c>
      <c r="I55" s="1"/>
      <c r="J55" s="5">
        <f t="shared" si="29"/>
        <v>2.2791373465143445E-2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4000</v>
      </c>
      <c r="Q55" s="1"/>
      <c r="R55" s="5">
        <f t="shared" si="32"/>
        <v>1.2405139449273834E-2</v>
      </c>
      <c r="S55" s="1"/>
      <c r="T55" s="1">
        <f>SUM(OSRRefT22_8x_0)</f>
        <v>4000</v>
      </c>
      <c r="U55" s="1"/>
      <c r="V55" s="5">
        <f t="shared" si="33"/>
        <v>1.1817607052747888E-2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8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1.513947238938723E-2</v>
      </c>
      <c r="G56" s="2"/>
      <c r="H56" s="6">
        <v>800</v>
      </c>
      <c r="I56" s="2"/>
      <c r="J56" s="7">
        <f t="shared" si="29"/>
        <v>2.2791373465143445E-2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4000</v>
      </c>
      <c r="Q56" s="2"/>
      <c r="R56" s="7">
        <f t="shared" si="32"/>
        <v>1.2405139449273834E-2</v>
      </c>
      <c r="S56" s="2"/>
      <c r="T56" s="6">
        <v>4000</v>
      </c>
      <c r="U56" s="2"/>
      <c r="V56" s="7">
        <f t="shared" si="33"/>
        <v>1.1817607052747888E-2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4.2733825247143954E-2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123827.90000000001</v>
      </c>
      <c r="Q57" s="1"/>
      <c r="R57" s="5">
        <f t="shared" si="32"/>
        <v>0.38402559180268386</v>
      </c>
      <c r="S57" s="1"/>
      <c r="T57" s="1">
        <f>SUM(OSRRefT22_9x_0)</f>
        <v>132500</v>
      </c>
      <c r="U57" s="1"/>
      <c r="V57" s="5">
        <f t="shared" si="33"/>
        <v>0.39145823362227383</v>
      </c>
      <c r="W57" s="1"/>
      <c r="X57" s="1">
        <f t="shared" si="34"/>
        <v>-8672.0999999999913</v>
      </c>
      <c r="Y57" s="1"/>
      <c r="Z57" s="5">
        <f t="shared" si="35"/>
        <v>-6.5449811320754656E-2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0.36930022039837151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8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4.2733825247143954E-2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7500</v>
      </c>
      <c r="U59" s="2"/>
      <c r="V59" s="7">
        <f t="shared" si="33"/>
        <v>2.2158013223902293E-2</v>
      </c>
      <c r="W59" s="2"/>
      <c r="X59" s="6">
        <f t="shared" si="34"/>
        <v>-7500</v>
      </c>
      <c r="Y59" s="2"/>
      <c r="Z59" s="7">
        <f t="shared" si="35"/>
        <v>-1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117265.90000000001</v>
      </c>
      <c r="Q60" s="2"/>
      <c r="R60" s="7">
        <f t="shared" si="32"/>
        <v>0.36367496053615017</v>
      </c>
      <c r="S60" s="2"/>
      <c r="T60" s="6"/>
      <c r="U60" s="2"/>
      <c r="V60" s="7">
        <f t="shared" si="33"/>
        <v>0</v>
      </c>
      <c r="W60" s="2"/>
      <c r="X60" s="6">
        <f t="shared" si="34"/>
        <v>117265.90000000001</v>
      </c>
      <c r="Y60" s="2"/>
      <c r="Z60" s="7">
        <f t="shared" si="35"/>
        <v>0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6562</v>
      </c>
      <c r="Q61" s="2"/>
      <c r="R61" s="7">
        <f t="shared" si="32"/>
        <v>2.0350631266533727E-2</v>
      </c>
      <c r="S61" s="2"/>
      <c r="T61" s="6"/>
      <c r="U61" s="2"/>
      <c r="V61" s="7">
        <f t="shared" si="33"/>
        <v>0</v>
      </c>
      <c r="W61" s="2"/>
      <c r="X61" s="6">
        <f t="shared" si="34"/>
        <v>6562</v>
      </c>
      <c r="Y61" s="2"/>
      <c r="Z61" s="7">
        <f t="shared" si="35"/>
        <v>0</v>
      </c>
    </row>
    <row r="62" spans="1:26" s="29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64" si="36">IF(D$12=0,0,D62/D$12)</f>
        <v>0</v>
      </c>
      <c r="G62" s="1"/>
      <c r="H62" s="1">
        <f>SUM(OSRRefH22_10x_0)</f>
        <v>7000</v>
      </c>
      <c r="I62" s="1"/>
      <c r="J62" s="5">
        <f t="shared" ref="J62:J64" si="37">IF(H$12=0,0,H62/H$12)</f>
        <v>0.19942451782000511</v>
      </c>
      <c r="K62" s="1"/>
      <c r="L62" s="1">
        <f t="shared" ref="L62:L64" si="38">+D62-H62</f>
        <v>-7000</v>
      </c>
      <c r="M62" s="1"/>
      <c r="N62" s="5">
        <f t="shared" ref="N62:N64" si="39">IF(H62=0,0,L62/H62)</f>
        <v>-1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0.12799529845214871</v>
      </c>
      <c r="S62" s="1"/>
      <c r="T62" s="1">
        <f>SUM(OSRRefT22_10x_0)</f>
        <v>35000</v>
      </c>
      <c r="U62" s="1"/>
      <c r="V62" s="5">
        <f t="shared" ref="V62:V64" si="41">IF(T$12=0,0,T62/T$12)</f>
        <v>0.10340406171154402</v>
      </c>
      <c r="W62" s="1"/>
      <c r="X62" s="1">
        <f t="shared" ref="X62:X64" si="42">+P62-T62</f>
        <v>6271.6999999999971</v>
      </c>
      <c r="Y62" s="1"/>
      <c r="Z62" s="5">
        <f t="shared" ref="Z62:Z64" si="43">IF(T62=0,0,X62/T62)</f>
        <v>0.1791914285714285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36"/>
        <v>0</v>
      </c>
      <c r="G63" s="2"/>
      <c r="H63" s="6">
        <v>7000</v>
      </c>
      <c r="I63" s="2"/>
      <c r="J63" s="7">
        <f t="shared" si="37"/>
        <v>0.19942451782000511</v>
      </c>
      <c r="K63" s="2"/>
      <c r="L63" s="6">
        <f t="shared" si="38"/>
        <v>-7000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35000</v>
      </c>
      <c r="U63" s="2"/>
      <c r="V63" s="7">
        <f t="shared" si="41"/>
        <v>0.10340406171154402</v>
      </c>
      <c r="W63" s="2"/>
      <c r="X63" s="6">
        <f t="shared" si="42"/>
        <v>-35000</v>
      </c>
      <c r="Y63" s="2"/>
      <c r="Z63" s="7">
        <f t="shared" si="43"/>
        <v>-1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41271.699999999997</v>
      </c>
      <c r="Q64" s="2"/>
      <c r="R64" s="7">
        <f t="shared" si="40"/>
        <v>0.12799529845214871</v>
      </c>
      <c r="S64" s="2"/>
      <c r="T64" s="6"/>
      <c r="U64" s="2"/>
      <c r="V64" s="7">
        <f t="shared" si="41"/>
        <v>0</v>
      </c>
      <c r="W64" s="2"/>
      <c r="X64" s="6">
        <f t="shared" si="42"/>
        <v>41271.699999999997</v>
      </c>
      <c r="Y64" s="2"/>
      <c r="Z64" s="7">
        <f t="shared" si="43"/>
        <v>0</v>
      </c>
    </row>
    <row r="65" spans="1:26" s="29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136.94999999999999</v>
      </c>
      <c r="E65" s="1"/>
      <c r="F65" s="5">
        <f t="shared" ref="F65:F66" si="44">IF(D$12=0,0,D65/D$12)</f>
        <v>2.5916884296582261E-3</v>
      </c>
      <c r="G65" s="1"/>
      <c r="H65" s="1">
        <f>SUM(OSRRefH22_11x_0)</f>
        <v>700</v>
      </c>
      <c r="I65" s="1"/>
      <c r="J65" s="5">
        <f t="shared" ref="J65:J66" si="45">IF(H$12=0,0,H65/H$12)</f>
        <v>1.9942451782000513E-2</v>
      </c>
      <c r="K65" s="1"/>
      <c r="L65" s="1">
        <f t="shared" ref="L65:L66" si="46">+D65-H65</f>
        <v>-563.04999999999995</v>
      </c>
      <c r="M65" s="1"/>
      <c r="N65" s="5">
        <f t="shared" ref="N65:N66" si="47">IF(H65=0,0,L65/H65)</f>
        <v>-0.80435714285714277</v>
      </c>
      <c r="O65" s="14"/>
      <c r="P65" s="1">
        <f>SUM(OSRRefP22_11x_0)</f>
        <v>1315.68</v>
      </c>
      <c r="Q65" s="1"/>
      <c r="R65" s="5">
        <f t="shared" ref="R65:R66" si="48">IF(P$12=0,0,P65/P$12)</f>
        <v>4.0802984676551494E-3</v>
      </c>
      <c r="S65" s="1"/>
      <c r="T65" s="1">
        <f>SUM(OSRRefT22_11x_0)</f>
        <v>3500</v>
      </c>
      <c r="U65" s="1"/>
      <c r="V65" s="5">
        <f t="shared" ref="V65:V66" si="49">IF(T$12=0,0,T65/T$12)</f>
        <v>1.0340406171154403E-2</v>
      </c>
      <c r="W65" s="1"/>
      <c r="X65" s="1">
        <f t="shared" ref="X65:X66" si="50">+P65-T65</f>
        <v>-2184.3199999999997</v>
      </c>
      <c r="Y65" s="1"/>
      <c r="Z65" s="5">
        <f t="shared" ref="Z65:Z66" si="51">IF(T65=0,0,X65/T65)</f>
        <v>-0.62409142857142852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6">
        <v>136.94999999999999</v>
      </c>
      <c r="E66" s="2"/>
      <c r="F66" s="7">
        <f t="shared" si="44"/>
        <v>2.5916884296582261E-3</v>
      </c>
      <c r="G66" s="2"/>
      <c r="H66" s="6">
        <v>700</v>
      </c>
      <c r="I66" s="2"/>
      <c r="J66" s="7">
        <f t="shared" si="45"/>
        <v>1.9942451782000513E-2</v>
      </c>
      <c r="K66" s="2"/>
      <c r="L66" s="6">
        <f t="shared" si="46"/>
        <v>-563.04999999999995</v>
      </c>
      <c r="M66" s="2"/>
      <c r="N66" s="7">
        <f t="shared" si="47"/>
        <v>-0.80435714285714277</v>
      </c>
      <c r="O66" s="11"/>
      <c r="P66" s="6">
        <v>1315.68</v>
      </c>
      <c r="Q66" s="2"/>
      <c r="R66" s="7">
        <f t="shared" si="48"/>
        <v>4.0802984676551494E-3</v>
      </c>
      <c r="S66" s="2"/>
      <c r="T66" s="6">
        <v>3500</v>
      </c>
      <c r="U66" s="2"/>
      <c r="V66" s="7">
        <f t="shared" si="49"/>
        <v>1.0340406171154403E-2</v>
      </c>
      <c r="W66" s="2"/>
      <c r="X66" s="6">
        <f t="shared" si="50"/>
        <v>-2184.3199999999997</v>
      </c>
      <c r="Y66" s="2"/>
      <c r="Z66" s="7">
        <f t="shared" si="51"/>
        <v>-0.62409142857142852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145.04</v>
      </c>
      <c r="E68" s="4"/>
      <c r="F68" s="12">
        <f t="shared" ref="F68:F69" si="52">IF(D$12=0,0,D68/D$12)</f>
        <v>2.7447863441959048E-3</v>
      </c>
      <c r="G68" s="4"/>
      <c r="H68" s="4">
        <f>SUM(OSRRefH25x_0)</f>
        <v>1650</v>
      </c>
      <c r="I68" s="4"/>
      <c r="J68" s="12">
        <f t="shared" ref="J68:J69" si="53">IF(H$12=0,0,H68/H$12)</f>
        <v>4.700720777185835E-2</v>
      </c>
      <c r="K68" s="4"/>
      <c r="L68" s="4">
        <f t="shared" ref="L68:L69" si="54">+D68-H68</f>
        <v>-1504.96</v>
      </c>
      <c r="M68" s="4"/>
      <c r="N68" s="12">
        <f t="shared" ref="N68:N69" si="55">IF(H68=0,0,L68/H68)</f>
        <v>-0.91209696969696974</v>
      </c>
      <c r="O68" s="10"/>
      <c r="P68" s="4">
        <f>SUM(OSRRefP25x_0)</f>
        <v>1120.2</v>
      </c>
      <c r="Q68" s="4"/>
      <c r="R68" s="12">
        <f t="shared" ref="R68:R69" si="56">IF(P$12=0,0,P68/P$12)</f>
        <v>3.4740593027691373E-3</v>
      </c>
      <c r="S68" s="4"/>
      <c r="T68" s="4">
        <f>SUM(OSRRefT25x_0)</f>
        <v>13650</v>
      </c>
      <c r="U68" s="4"/>
      <c r="V68" s="12">
        <f t="shared" ref="V68:V69" si="57">IF(T$12=0,0,T68/T$12)</f>
        <v>4.032758406750217E-2</v>
      </c>
      <c r="W68" s="4"/>
      <c r="X68" s="4">
        <f t="shared" ref="X68:X69" si="58">+P68-T68</f>
        <v>-12529.8</v>
      </c>
      <c r="Y68" s="4"/>
      <c r="Z68" s="12">
        <f t="shared" ref="Z68:Z69" si="59">IF(T68=0,0,X68/T68)</f>
        <v>-0.9179340659340659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--145.04</f>
        <v>145.04</v>
      </c>
      <c r="E69" s="2"/>
      <c r="F69" s="22">
        <f t="shared" si="52"/>
        <v>2.7447863441959048E-3</v>
      </c>
      <c r="G69" s="2"/>
      <c r="H69" s="2">
        <v>1650</v>
      </c>
      <c r="I69" s="2"/>
      <c r="J69" s="22">
        <f t="shared" si="53"/>
        <v>4.700720777185835E-2</v>
      </c>
      <c r="K69" s="2"/>
      <c r="L69" s="2">
        <f t="shared" si="54"/>
        <v>-1504.96</v>
      </c>
      <c r="M69" s="2"/>
      <c r="N69" s="22">
        <f t="shared" si="55"/>
        <v>-0.91209696969696974</v>
      </c>
      <c r="O69" s="11"/>
      <c r="P69" s="2">
        <f>--1120.2</f>
        <v>1120.2</v>
      </c>
      <c r="Q69" s="2"/>
      <c r="R69" s="22">
        <f t="shared" si="56"/>
        <v>3.4740593027691373E-3</v>
      </c>
      <c r="S69" s="2"/>
      <c r="T69" s="2">
        <v>13650</v>
      </c>
      <c r="U69" s="2"/>
      <c r="V69" s="22">
        <f t="shared" si="57"/>
        <v>4.032758406750217E-2</v>
      </c>
      <c r="W69" s="2"/>
      <c r="X69" s="2">
        <f t="shared" si="58"/>
        <v>-12529.8</v>
      </c>
      <c r="Y69" s="2"/>
      <c r="Z69" s="22">
        <f t="shared" si="59"/>
        <v>-0.9179340659340659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1">
        <f>+D17-D19+D68</f>
        <v>36534.249999999993</v>
      </c>
      <c r="E71" s="13"/>
      <c r="F71" s="20">
        <f>IF(D$12=0,0,D71/D$12)</f>
        <v>0.69138658642746287</v>
      </c>
      <c r="G71" s="13"/>
      <c r="H71" s="21">
        <f>+H17-H19+H68</f>
        <v>5211.0939663846148</v>
      </c>
      <c r="I71" s="13"/>
      <c r="J71" s="20">
        <f>IF(H$12=0,0,H71/H$12)</f>
        <v>0.14845998593728427</v>
      </c>
      <c r="K71" s="16"/>
      <c r="L71" s="21">
        <f>+D71-H71</f>
        <v>31323.156033615378</v>
      </c>
      <c r="M71" s="16"/>
      <c r="N71" s="20">
        <f>IF(H71=0,0,L71/H71)</f>
        <v>6.010859952952825</v>
      </c>
      <c r="O71" s="26"/>
      <c r="P71" s="21">
        <f>+P17-P19+P68</f>
        <v>58402.429999999978</v>
      </c>
      <c r="Q71" s="13"/>
      <c r="R71" s="20">
        <f>IF(P$12=0,0,P71/P$12)</f>
        <v>0.18112257208161334</v>
      </c>
      <c r="S71" s="13"/>
      <c r="T71" s="21">
        <f>+T17-T19+T68</f>
        <v>51639.680228865356</v>
      </c>
      <c r="U71" s="13"/>
      <c r="V71" s="20">
        <f>IF(T$12=0,0,T71/T$12)</f>
        <v>0.15256436231857123</v>
      </c>
      <c r="W71" s="16"/>
      <c r="X71" s="21">
        <f>+P71-T71</f>
        <v>6762.7497711346223</v>
      </c>
      <c r="Y71" s="16"/>
      <c r="Z71" s="20">
        <f>IF(T71=0,0,X71/T71)</f>
        <v>0.130960334013734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-7165.41</v>
      </c>
      <c r="E73" s="4"/>
      <c r="F73" s="12">
        <f>IF(D$12=0,0,D73/D$12)</f>
        <v>-0.13560065856704895</v>
      </c>
      <c r="G73" s="4"/>
      <c r="H73" s="4">
        <v>10699</v>
      </c>
      <c r="I73" s="4"/>
      <c r="J73" s="12">
        <f>IF(H$12=0,0,H73/H$12)</f>
        <v>0.30480613087946212</v>
      </c>
      <c r="K73" s="4"/>
      <c r="L73" s="4">
        <f>+D73-H73</f>
        <v>-17864.41</v>
      </c>
      <c r="M73" s="4"/>
      <c r="N73" s="12">
        <f>IF(H73=0,0,L73/H73)</f>
        <v>-1.6697270772969437</v>
      </c>
      <c r="O73" s="10"/>
      <c r="P73" s="4">
        <v>51236.84</v>
      </c>
      <c r="Q73" s="4"/>
      <c r="R73" s="12">
        <f>IF(P$12=0,0,P73/P$12)</f>
        <v>0.15890003628503288</v>
      </c>
      <c r="S73" s="4"/>
      <c r="T73" s="4">
        <v>60368</v>
      </c>
      <c r="U73" s="4"/>
      <c r="V73" s="12">
        <f>IF(T$12=0,0,T73/T$12)</f>
        <v>0.17835132564007114</v>
      </c>
      <c r="W73" s="4"/>
      <c r="X73" s="4">
        <f>+P73-T73</f>
        <v>-9131.1600000000035</v>
      </c>
      <c r="Y73" s="4"/>
      <c r="Z73" s="12">
        <f>IF(T73=0,0,X73/T73)</f>
        <v>-0.15125828253379281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1">
        <f>+D71-D73</f>
        <v>43699.659999999989</v>
      </c>
      <c r="E75" s="13"/>
      <c r="F75" s="34">
        <f>IF(D$12=0,0,D75/D$12)</f>
        <v>0.82698724499451171</v>
      </c>
      <c r="G75" s="13"/>
      <c r="H75" s="31">
        <f>+H71-H73</f>
        <v>-5487.9060336153852</v>
      </c>
      <c r="I75" s="13"/>
      <c r="J75" s="34">
        <f>IF(H$12=0,0,H75/H$12)</f>
        <v>-0.15634614494217786</v>
      </c>
      <c r="K75" s="16"/>
      <c r="L75" s="31">
        <f>D75-H75</f>
        <v>49187.566033615374</v>
      </c>
      <c r="M75" s="16"/>
      <c r="N75" s="34">
        <f>IF(H75=0,0,L75/H75)</f>
        <v>-8.9629023770312308</v>
      </c>
      <c r="O75" s="26"/>
      <c r="P75" s="31">
        <f>+P71-P73</f>
        <v>7165.589999999982</v>
      </c>
      <c r="Q75" s="13"/>
      <c r="R75" s="34">
        <f>IF(P$12=0,0,P75/P$12)</f>
        <v>2.2222535796580466E-2</v>
      </c>
      <c r="S75" s="13"/>
      <c r="T75" s="31">
        <f>+T71-T73</f>
        <v>-8728.3197711346438</v>
      </c>
      <c r="U75" s="13"/>
      <c r="V75" s="34">
        <f>IF(T$12=0,0,T75/T$12)</f>
        <v>-2.5786963321499903E-2</v>
      </c>
      <c r="W75" s="16"/>
      <c r="X75" s="31">
        <f>P75-T75</f>
        <v>15893.909771134626</v>
      </c>
      <c r="Y75" s="16"/>
      <c r="Z75" s="34">
        <f>IF(T75=0,0,X75/T75)</f>
        <v>-1.8209586939856681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3">
        <f>SUM(D75:D77)</f>
        <v>43699.659999999989</v>
      </c>
      <c r="E78" s="13"/>
      <c r="F78" s="30">
        <f>IF(D$12=0,0,D78/D$12)</f>
        <v>0.82698724499451171</v>
      </c>
      <c r="G78" s="13"/>
      <c r="H78" s="33">
        <f>SUM(H75:H77)</f>
        <v>-5487.9060336153852</v>
      </c>
      <c r="I78" s="13"/>
      <c r="J78" s="30">
        <f>IF(H$12=0,0,H78/H$12)</f>
        <v>-0.15634614494217786</v>
      </c>
      <c r="K78" s="16"/>
      <c r="L78" s="33">
        <f>+D78-H78</f>
        <v>49187.566033615374</v>
      </c>
      <c r="M78" s="16"/>
      <c r="N78" s="30">
        <f>IF(H78=0,0,L78/H78)</f>
        <v>-8.9629023770312308</v>
      </c>
      <c r="O78" s="26"/>
      <c r="P78" s="33">
        <f>SUM(P75:P77)</f>
        <v>7165.589999999982</v>
      </c>
      <c r="Q78" s="13"/>
      <c r="R78" s="30">
        <f>IF(P$12=0,0,P78/P$12)</f>
        <v>2.2222535796580466E-2</v>
      </c>
      <c r="S78" s="13"/>
      <c r="T78" s="33">
        <f>SUM(T75:T77)</f>
        <v>-8728.3197711346438</v>
      </c>
      <c r="U78" s="13"/>
      <c r="V78" s="30">
        <f>IF(T$12=0,0,T78/T$12)</f>
        <v>-2.5786963321499903E-2</v>
      </c>
      <c r="W78" s="16"/>
      <c r="X78" s="33">
        <f>+P78-T78</f>
        <v>15893.909771134626</v>
      </c>
      <c r="Y78" s="16"/>
      <c r="Z78" s="30">
        <f>IF(T78=0,0,X78/T78)</f>
        <v>-1.8209586939856681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>
        <v>44174.680202974538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7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3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50"/>
      <c r="G3" s="17"/>
      <c r="H3" s="17"/>
      <c r="I3" s="17"/>
      <c r="J3" s="37"/>
      <c r="K3" s="17"/>
      <c r="L3" s="17"/>
      <c r="M3" s="17"/>
      <c r="N3" s="50"/>
      <c r="O3" s="60"/>
      <c r="P3" s="17"/>
      <c r="Q3" s="17"/>
      <c r="R3" s="37"/>
      <c r="S3" s="17"/>
      <c r="T3" s="17"/>
      <c r="U3" s="17"/>
      <c r="V3" s="37"/>
      <c r="W3" s="17"/>
      <c r="X3" s="17"/>
      <c r="Y3" s="17"/>
      <c r="Z3" s="37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7"/>
      <c r="K4" s="17"/>
      <c r="L4" s="17"/>
      <c r="M4" s="17"/>
      <c r="N4" s="50"/>
      <c r="O4" s="60"/>
      <c r="P4" s="17"/>
      <c r="Q4" s="17"/>
      <c r="R4" s="37"/>
      <c r="S4" s="17"/>
      <c r="T4" s="17"/>
      <c r="U4" s="17"/>
      <c r="V4" s="37"/>
      <c r="W4" s="17"/>
      <c r="X4" s="17"/>
      <c r="Y4" s="17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7"/>
      <c r="K5" s="17"/>
      <c r="L5" s="17"/>
      <c r="M5" s="17"/>
      <c r="N5" s="50"/>
      <c r="O5" s="60"/>
      <c r="P5" s="17"/>
      <c r="Q5" s="17"/>
      <c r="R5" s="37"/>
      <c r="S5" s="17"/>
      <c r="T5" s="17"/>
      <c r="U5" s="17"/>
      <c r="V5" s="37"/>
      <c r="W5" s="17"/>
      <c r="X5" s="17"/>
      <c r="Y5" s="17"/>
      <c r="Z5" s="37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7"/>
      <c r="K6" s="17"/>
      <c r="L6" s="17"/>
      <c r="M6" s="17"/>
      <c r="N6" s="50"/>
      <c r="O6" s="53"/>
      <c r="P6" s="17"/>
      <c r="Q6" s="17"/>
      <c r="R6" s="37"/>
      <c r="S6" s="17"/>
      <c r="T6" s="17"/>
      <c r="U6" s="17"/>
      <c r="V6" s="37"/>
      <c r="W6" s="17"/>
      <c r="X6" s="17"/>
      <c r="Y6" s="17"/>
      <c r="Z6" s="37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4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4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2"/>
      <c r="F10" s="39" t="s">
        <v>15</v>
      </c>
      <c r="G10" s="32"/>
      <c r="H10" s="49" t="s">
        <v>11</v>
      </c>
      <c r="I10" s="32"/>
      <c r="J10" s="47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2"/>
      <c r="R10" s="39" t="s">
        <v>15</v>
      </c>
      <c r="S10" s="32"/>
      <c r="T10" s="49" t="s">
        <v>11</v>
      </c>
      <c r="U10" s="32"/>
      <c r="V10" s="47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1" t="e">
        <f ca="1">+D27-D29</f>
        <v>#NAME?</v>
      </c>
      <c r="E31" s="13"/>
      <c r="F31" s="34" t="e">
        <f ca="1">IF(D$12=0,0,D31/D$12)</f>
        <v>#NAME?</v>
      </c>
      <c r="G31" s="13"/>
      <c r="H31" s="31" t="e">
        <f ca="1">+H27-H29</f>
        <v>#NAME?</v>
      </c>
      <c r="I31" s="13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6"/>
      <c r="P31" s="31" t="e">
        <f ca="1">+P27-P29</f>
        <v>#NAME?</v>
      </c>
      <c r="Q31" s="13"/>
      <c r="R31" s="34" t="e">
        <f ca="1">IF(P$12=0,0,P31/P$12)</f>
        <v>#NAME?</v>
      </c>
      <c r="S31" s="13"/>
      <c r="T31" s="31" t="e">
        <f ca="1">+T27-T29</f>
        <v>#NAME?</v>
      </c>
      <c r="U31" s="13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0" t="e">
        <f ca="1">IF(D$12=0,0,D36/D$12)</f>
        <v>#NAME?</v>
      </c>
      <c r="G36" s="13"/>
      <c r="H36" s="33" t="e">
        <f ca="1">SUM(H31:H35)</f>
        <v>#NAME?</v>
      </c>
      <c r="I36" s="13"/>
      <c r="J36" s="30" t="e">
        <f ca="1">IF(H$12=0,0,H36/H$12)</f>
        <v>#NAME?</v>
      </c>
      <c r="K36" s="16"/>
      <c r="L36" s="33" t="e">
        <f ca="1">+D36-H36</f>
        <v>#NAME?</v>
      </c>
      <c r="M36" s="16"/>
      <c r="N36" s="30" t="e">
        <f ca="1">IF(H36=0,0,L36/H36)</f>
        <v>#NAME?</v>
      </c>
      <c r="O36" s="26"/>
      <c r="P36" s="33" t="e">
        <f ca="1">SUM(P31:P35)</f>
        <v>#NAME?</v>
      </c>
      <c r="Q36" s="13"/>
      <c r="R36" s="30" t="e">
        <f ca="1">IF(P$12=0,0,P36/P$12)</f>
        <v>#NAME?</v>
      </c>
      <c r="S36" s="13"/>
      <c r="T36" s="33" t="e">
        <f ca="1">SUM(T31:T35)</f>
        <v>#NAME?</v>
      </c>
      <c r="U36" s="13"/>
      <c r="V36" s="30" t="e">
        <f ca="1">IF(T$12=0,0,T36/T$12)</f>
        <v>#NAME?</v>
      </c>
      <c r="W36" s="16"/>
      <c r="X36" s="33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5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A89A383-8D77-4EE2-A21F-60BDCF71CD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998D2A-92B7-4819-9638-EA0DDB5985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678332-DAE9-4CD6-955B-7ADD2DCBD86D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762caf36-b0c2-49b4-ab14-ff4bceb8c0a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3922</vt:i4>
      </vt:variant>
    </vt:vector>
  </HeadingPairs>
  <TitlesOfParts>
    <vt:vector size="401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'414'!OSRRefD22_15x_0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'414'!OSRRefH22_15x_0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'414'!OSRRefP22_15x_0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'414'!OSRRefT22_15x_0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2020-12-11T21:02:28Z</dcterms:created>
  <dcterms:modified xsi:type="dcterms:W3CDTF">2020-12-11T21:02:29Z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